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225" windowHeight="7770" tabRatio="752"/>
  </bookViews>
  <sheets>
    <sheet name="NYCC PaySpine" sheetId="1" r:id="rId1"/>
    <sheet name="APPRENTICE RATES" sheetId="23" r:id="rId2"/>
    <sheet name="Soulbury EP" sheetId="26" r:id="rId3"/>
    <sheet name="Soulbury EIP" sheetId="27" r:id="rId4"/>
    <sheet name="Youth&amp;Comm SuppWorker" sheetId="20" r:id="rId5"/>
    <sheet name="Centrally employed teachers" sheetId="25" r:id="rId6"/>
    <sheet name="Teachers" sheetId="24" r:id="rId7"/>
    <sheet name="Teachers Residential SS " sheetId="21" r:id="rId8"/>
    <sheet name="Teachers Residential Schools" sheetId="22" r:id="rId9"/>
  </sheets>
  <definedNames>
    <definedName name="_xlnm.Print_Area" localSheetId="0">'NYCC PaySpine'!$A$3:$AO$86</definedName>
    <definedName name="_xlnm.Print_Area" localSheetId="3">'Soulbury EIP'!$A$1:$E$72</definedName>
    <definedName name="_xlnm.Print_Area" localSheetId="2">'Soulbury EP'!$A$1:$G$87</definedName>
  </definedNames>
  <calcPr calcId="152511"/>
</workbook>
</file>

<file path=xl/calcChain.xml><?xml version="1.0" encoding="utf-8"?>
<calcChain xmlns="http://schemas.openxmlformats.org/spreadsheetml/2006/main">
  <c r="AC51" i="1" l="1"/>
  <c r="AC52" i="1"/>
  <c r="AC53" i="1"/>
  <c r="AD53" i="1" s="1"/>
  <c r="AC54" i="1"/>
  <c r="AD54" i="1" s="1"/>
  <c r="AC55" i="1"/>
  <c r="AC56" i="1"/>
  <c r="AC57" i="1"/>
  <c r="AD57" i="1" s="1"/>
  <c r="AC58" i="1"/>
  <c r="AD58" i="1" s="1"/>
  <c r="AC59" i="1"/>
  <c r="AC60" i="1"/>
  <c r="AC61" i="1"/>
  <c r="AD61" i="1" s="1"/>
  <c r="AC62" i="1"/>
  <c r="AD62" i="1" s="1"/>
  <c r="AC63" i="1"/>
  <c r="AC64" i="1"/>
  <c r="AC65" i="1"/>
  <c r="AD65" i="1" s="1"/>
  <c r="AC66" i="1"/>
  <c r="AD66" i="1" s="1"/>
  <c r="AC67" i="1"/>
  <c r="AC68" i="1"/>
  <c r="AC69" i="1"/>
  <c r="AD69" i="1" s="1"/>
  <c r="AC70" i="1"/>
  <c r="AD70" i="1" s="1"/>
  <c r="AC71" i="1"/>
  <c r="AC72" i="1"/>
  <c r="AC73" i="1"/>
  <c r="AD73" i="1" s="1"/>
  <c r="AC74" i="1"/>
  <c r="AD74" i="1" s="1"/>
  <c r="AC75" i="1"/>
  <c r="AC50"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5" i="1"/>
  <c r="AD56" i="1"/>
  <c r="AD59" i="1"/>
  <c r="AD60" i="1"/>
  <c r="AD63" i="1"/>
  <c r="AD64" i="1"/>
  <c r="AD67" i="1"/>
  <c r="AD68" i="1"/>
  <c r="AD71" i="1"/>
  <c r="AD72" i="1"/>
  <c r="AD75" i="1"/>
  <c r="AD6" i="1"/>
  <c r="C58" i="27" l="1"/>
  <c r="C57" i="27"/>
  <c r="C56" i="27"/>
  <c r="C55" i="27"/>
  <c r="C54" i="27"/>
  <c r="C53" i="27"/>
  <c r="C52" i="27"/>
  <c r="C51" i="27"/>
  <c r="C50" i="27"/>
  <c r="C49" i="27"/>
  <c r="C48" i="27"/>
  <c r="C47" i="27"/>
  <c r="C46"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D74" i="26"/>
  <c r="D73" i="26"/>
  <c r="D72" i="26"/>
  <c r="D71" i="26"/>
  <c r="D64" i="26"/>
  <c r="D63" i="26"/>
  <c r="D62" i="26"/>
  <c r="D61" i="26"/>
  <c r="D60" i="26"/>
  <c r="D59" i="26"/>
  <c r="D46" i="26"/>
  <c r="D45" i="26"/>
  <c r="D44" i="26"/>
  <c r="D43" i="26"/>
  <c r="D42" i="26"/>
  <c r="D41" i="26"/>
  <c r="D40" i="26"/>
  <c r="D39" i="26"/>
  <c r="D38" i="26"/>
  <c r="D37" i="26"/>
  <c r="D36" i="26"/>
  <c r="D35" i="26"/>
  <c r="D34" i="26"/>
  <c r="D33" i="26"/>
  <c r="D32" i="26"/>
  <c r="D31" i="26"/>
  <c r="D30" i="26"/>
  <c r="D29" i="26"/>
  <c r="D19" i="26"/>
  <c r="D18" i="26"/>
  <c r="D17" i="26"/>
  <c r="D16" i="26"/>
  <c r="D15" i="26"/>
  <c r="D14" i="26"/>
  <c r="D13" i="26"/>
  <c r="D12" i="26"/>
  <c r="D11" i="26"/>
  <c r="D10" i="26"/>
  <c r="D9" i="26"/>
  <c r="AB7" i="1" l="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6" i="1"/>
  <c r="Y82" i="1" l="1"/>
  <c r="Y80" i="1"/>
  <c r="Y86" i="1"/>
  <c r="Y85" i="1"/>
  <c r="Y84" i="1"/>
  <c r="Y83" i="1"/>
  <c r="Y81" i="1"/>
  <c r="Y79" i="1"/>
  <c r="Y78" i="1"/>
  <c r="Y77" i="1"/>
  <c r="Y76" i="1"/>
  <c r="Z76" i="1" l="1"/>
  <c r="AA76" i="1"/>
  <c r="AB76" i="1" s="1"/>
  <c r="Z86" i="1"/>
  <c r="AA86" i="1"/>
  <c r="AB86" i="1" s="1"/>
  <c r="Z83" i="1"/>
  <c r="AA83" i="1"/>
  <c r="AB83" i="1" s="1"/>
  <c r="Z80" i="1"/>
  <c r="AA80" i="1"/>
  <c r="AB80" i="1" s="1"/>
  <c r="Z78" i="1"/>
  <c r="AA78" i="1"/>
  <c r="AB78" i="1" s="1"/>
  <c r="Z79" i="1"/>
  <c r="AA79" i="1"/>
  <c r="AB79" i="1" s="1"/>
  <c r="Z85" i="1"/>
  <c r="AA85" i="1"/>
  <c r="AB85" i="1" s="1"/>
  <c r="Z81" i="1"/>
  <c r="AA81" i="1"/>
  <c r="AB81" i="1" s="1"/>
  <c r="Z77" i="1"/>
  <c r="AA77" i="1"/>
  <c r="AB77" i="1" s="1"/>
  <c r="Z84" i="1"/>
  <c r="AA84" i="1"/>
  <c r="AB84" i="1" s="1"/>
  <c r="Z82" i="1"/>
  <c r="AA82" i="1"/>
  <c r="AB82" i="1" s="1"/>
  <c r="U76" i="1"/>
  <c r="U77" i="1"/>
  <c r="U78" i="1"/>
  <c r="U79" i="1"/>
  <c r="U80" i="1"/>
  <c r="U81" i="1"/>
  <c r="U82" i="1"/>
  <c r="U83" i="1"/>
  <c r="U84" i="1"/>
  <c r="U85" i="1"/>
  <c r="U86" i="1"/>
  <c r="W85" i="1" l="1"/>
  <c r="W83" i="1"/>
  <c r="W81" i="1"/>
  <c r="W79" i="1"/>
  <c r="W77" i="1"/>
  <c r="W86" i="1"/>
  <c r="W84" i="1"/>
  <c r="W82" i="1"/>
  <c r="W80" i="1"/>
  <c r="W78" i="1"/>
  <c r="W76" i="1"/>
  <c r="Q76" i="1"/>
  <c r="Q77" i="1"/>
  <c r="Q78" i="1"/>
  <c r="Q79" i="1"/>
  <c r="Q80" i="1"/>
  <c r="Q81" i="1"/>
  <c r="Q82" i="1"/>
  <c r="Q83" i="1"/>
  <c r="Q84" i="1"/>
  <c r="Q85" i="1"/>
  <c r="Q86" i="1"/>
  <c r="L86" i="1" l="1"/>
  <c r="L85" i="1"/>
  <c r="L84" i="1"/>
  <c r="L83" i="1"/>
  <c r="L82" i="1"/>
  <c r="L81" i="1"/>
  <c r="L80" i="1"/>
  <c r="L79" i="1"/>
  <c r="L78" i="1"/>
  <c r="L77" i="1"/>
  <c r="L76" i="1"/>
  <c r="K75" i="1" l="1"/>
  <c r="K74" i="1"/>
  <c r="L74" i="1" s="1"/>
  <c r="K73" i="1"/>
  <c r="L73" i="1" s="1"/>
  <c r="K72" i="1"/>
  <c r="P12" i="1"/>
  <c r="R12" i="1" s="1"/>
  <c r="P13" i="1"/>
  <c r="P14" i="1"/>
  <c r="R14" i="1" s="1"/>
  <c r="P16" i="1"/>
  <c r="R16" i="1" s="1"/>
  <c r="P18" i="1"/>
  <c r="R18" i="1" s="1"/>
  <c r="P20" i="1"/>
  <c r="R20" i="1" s="1"/>
  <c r="P27" i="1"/>
  <c r="P32" i="1"/>
  <c r="R32" i="1" s="1"/>
  <c r="T32" i="1" s="1"/>
  <c r="P34" i="1"/>
  <c r="R34" i="1" s="1"/>
  <c r="T34" i="1" s="1"/>
  <c r="P35" i="1"/>
  <c r="Q35" i="1" s="1"/>
  <c r="P36" i="1"/>
  <c r="Q36" i="1" s="1"/>
  <c r="P37" i="1"/>
  <c r="Q37" i="1" s="1"/>
  <c r="P38" i="1"/>
  <c r="Q38" i="1" s="1"/>
  <c r="P47" i="1"/>
  <c r="Q47" i="1" s="1"/>
  <c r="P11" i="1"/>
  <c r="L4" i="1"/>
  <c r="C5" i="1"/>
  <c r="G5" i="1"/>
  <c r="K5" i="1"/>
  <c r="C6" i="1"/>
  <c r="G6" i="1"/>
  <c r="K6" i="1"/>
  <c r="C7" i="1"/>
  <c r="D7" i="1" s="1"/>
  <c r="G7" i="1"/>
  <c r="K7" i="1"/>
  <c r="C8" i="1"/>
  <c r="D8" i="1" s="1"/>
  <c r="G8" i="1"/>
  <c r="K8" i="1"/>
  <c r="P8" i="1" s="1"/>
  <c r="C9" i="1"/>
  <c r="D9" i="1" s="1"/>
  <c r="G9" i="1"/>
  <c r="K9" i="1"/>
  <c r="P9" i="1" s="1"/>
  <c r="C10" i="1"/>
  <c r="D10" i="1" s="1"/>
  <c r="G10" i="1"/>
  <c r="K10" i="1"/>
  <c r="P10" i="1" s="1"/>
  <c r="C11" i="1"/>
  <c r="D11" i="1" s="1"/>
  <c r="G11" i="1"/>
  <c r="L11" i="1"/>
  <c r="C12" i="1"/>
  <c r="D12" i="1" s="1"/>
  <c r="G12" i="1"/>
  <c r="L12" i="1"/>
  <c r="M12" i="1"/>
  <c r="N12" i="1" s="1"/>
  <c r="C13" i="1"/>
  <c r="D13" i="1" s="1"/>
  <c r="G13" i="1"/>
  <c r="L13" i="1"/>
  <c r="M13" i="1"/>
  <c r="N13" i="1" s="1"/>
  <c r="C14" i="1"/>
  <c r="D14" i="1" s="1"/>
  <c r="G14" i="1"/>
  <c r="L14" i="1"/>
  <c r="M14" i="1"/>
  <c r="N14" i="1" s="1"/>
  <c r="C15" i="1"/>
  <c r="D15" i="1" s="1"/>
  <c r="G15" i="1"/>
  <c r="K15" i="1"/>
  <c r="P15" i="1" s="1"/>
  <c r="C16" i="1"/>
  <c r="D16" i="1" s="1"/>
  <c r="G16" i="1"/>
  <c r="L16" i="1"/>
  <c r="C17" i="1"/>
  <c r="D17" i="1" s="1"/>
  <c r="G17" i="1"/>
  <c r="K17" i="1"/>
  <c r="P17" i="1" s="1"/>
  <c r="C18" i="1"/>
  <c r="D18" i="1" s="1"/>
  <c r="G18" i="1"/>
  <c r="L18" i="1"/>
  <c r="C19" i="1"/>
  <c r="D19" i="1" s="1"/>
  <c r="G19" i="1"/>
  <c r="K19" i="1"/>
  <c r="P19" i="1" s="1"/>
  <c r="C20" i="1"/>
  <c r="D20" i="1" s="1"/>
  <c r="G20" i="1"/>
  <c r="L20" i="1"/>
  <c r="C21" i="1"/>
  <c r="D21" i="1" s="1"/>
  <c r="G21" i="1"/>
  <c r="K21" i="1"/>
  <c r="P21" i="1" s="1"/>
  <c r="C22" i="1"/>
  <c r="D22" i="1" s="1"/>
  <c r="G22" i="1"/>
  <c r="K22" i="1"/>
  <c r="P22" i="1" s="1"/>
  <c r="C23" i="1"/>
  <c r="D23" i="1" s="1"/>
  <c r="G23" i="1"/>
  <c r="K23" i="1"/>
  <c r="P23" i="1" s="1"/>
  <c r="C24" i="1"/>
  <c r="D24" i="1" s="1"/>
  <c r="G24" i="1"/>
  <c r="K24" i="1"/>
  <c r="P24" i="1" s="1"/>
  <c r="C25" i="1"/>
  <c r="D25" i="1" s="1"/>
  <c r="G25" i="1"/>
  <c r="K25" i="1"/>
  <c r="P25" i="1" s="1"/>
  <c r="C26" i="1"/>
  <c r="D26" i="1" s="1"/>
  <c r="G26" i="1"/>
  <c r="K26" i="1"/>
  <c r="P26" i="1" s="1"/>
  <c r="C27" i="1"/>
  <c r="D27" i="1" s="1"/>
  <c r="G27" i="1"/>
  <c r="L27" i="1"/>
  <c r="C28" i="1"/>
  <c r="D28" i="1" s="1"/>
  <c r="G28" i="1"/>
  <c r="K28" i="1"/>
  <c r="P28" i="1" s="1"/>
  <c r="C29" i="1"/>
  <c r="D29" i="1" s="1"/>
  <c r="G29" i="1"/>
  <c r="K29" i="1"/>
  <c r="P29" i="1" s="1"/>
  <c r="C30" i="1"/>
  <c r="D30" i="1" s="1"/>
  <c r="G30" i="1"/>
  <c r="K30" i="1"/>
  <c r="P30" i="1" s="1"/>
  <c r="C31" i="1"/>
  <c r="D31" i="1" s="1"/>
  <c r="G31" i="1"/>
  <c r="K31" i="1"/>
  <c r="P31" i="1" s="1"/>
  <c r="C32" i="1"/>
  <c r="D32" i="1" s="1"/>
  <c r="G32" i="1"/>
  <c r="L32" i="1"/>
  <c r="C33" i="1"/>
  <c r="D33" i="1" s="1"/>
  <c r="G33" i="1"/>
  <c r="K33" i="1"/>
  <c r="P33" i="1" s="1"/>
  <c r="C34" i="1"/>
  <c r="D34" i="1" s="1"/>
  <c r="G34" i="1"/>
  <c r="L34" i="1"/>
  <c r="C35" i="1"/>
  <c r="D35" i="1" s="1"/>
  <c r="G35" i="1"/>
  <c r="L35" i="1"/>
  <c r="M35" i="1"/>
  <c r="N35" i="1" s="1"/>
  <c r="C36" i="1"/>
  <c r="D36" i="1" s="1"/>
  <c r="G36" i="1"/>
  <c r="L36" i="1"/>
  <c r="M36" i="1"/>
  <c r="N36" i="1" s="1"/>
  <c r="C37" i="1"/>
  <c r="D37" i="1" s="1"/>
  <c r="G37" i="1"/>
  <c r="L37" i="1"/>
  <c r="M37" i="1"/>
  <c r="N37" i="1" s="1"/>
  <c r="C38" i="1"/>
  <c r="D38" i="1" s="1"/>
  <c r="G38" i="1"/>
  <c r="L38" i="1"/>
  <c r="M38" i="1"/>
  <c r="N38" i="1" s="1"/>
  <c r="C39" i="1"/>
  <c r="D39" i="1" s="1"/>
  <c r="G39" i="1"/>
  <c r="K39" i="1"/>
  <c r="P39" i="1" s="1"/>
  <c r="C40" i="1"/>
  <c r="D40" i="1" s="1"/>
  <c r="G40" i="1"/>
  <c r="K40" i="1"/>
  <c r="P40" i="1" s="1"/>
  <c r="C41" i="1"/>
  <c r="D41" i="1" s="1"/>
  <c r="G41" i="1"/>
  <c r="K41" i="1"/>
  <c r="P41" i="1" s="1"/>
  <c r="C42" i="1"/>
  <c r="D42" i="1" s="1"/>
  <c r="G42" i="1"/>
  <c r="K42" i="1"/>
  <c r="P42" i="1" s="1"/>
  <c r="C43" i="1"/>
  <c r="D43" i="1" s="1"/>
  <c r="G43" i="1"/>
  <c r="K43" i="1"/>
  <c r="P43" i="1" s="1"/>
  <c r="C44" i="1"/>
  <c r="D44" i="1" s="1"/>
  <c r="G44" i="1"/>
  <c r="K44" i="1"/>
  <c r="P44" i="1" s="1"/>
  <c r="C45" i="1"/>
  <c r="D45" i="1" s="1"/>
  <c r="G45" i="1"/>
  <c r="K45" i="1"/>
  <c r="P45" i="1" s="1"/>
  <c r="C46" i="1"/>
  <c r="D46" i="1" s="1"/>
  <c r="G46" i="1"/>
  <c r="K46" i="1"/>
  <c r="P46" i="1" s="1"/>
  <c r="C47" i="1"/>
  <c r="D47" i="1" s="1"/>
  <c r="G47" i="1"/>
  <c r="L47" i="1"/>
  <c r="C48" i="1"/>
  <c r="D48" i="1" s="1"/>
  <c r="G48" i="1"/>
  <c r="K48" i="1"/>
  <c r="C49" i="1"/>
  <c r="D49" i="1" s="1"/>
  <c r="G49" i="1"/>
  <c r="K49" i="1"/>
  <c r="C50" i="1"/>
  <c r="D50" i="1" s="1"/>
  <c r="G50" i="1"/>
  <c r="K50" i="1"/>
  <c r="C51" i="1"/>
  <c r="D51" i="1" s="1"/>
  <c r="G51" i="1"/>
  <c r="K51" i="1"/>
  <c r="C52" i="1"/>
  <c r="D52" i="1" s="1"/>
  <c r="G52" i="1"/>
  <c r="K52" i="1"/>
  <c r="C53" i="1"/>
  <c r="D53" i="1" s="1"/>
  <c r="G53" i="1"/>
  <c r="K53" i="1"/>
  <c r="C54" i="1"/>
  <c r="D54" i="1" s="1"/>
  <c r="G54" i="1"/>
  <c r="K54" i="1"/>
  <c r="C55" i="1"/>
  <c r="D55" i="1" s="1"/>
  <c r="G55" i="1"/>
  <c r="K55" i="1"/>
  <c r="C56" i="1"/>
  <c r="D56" i="1" s="1"/>
  <c r="G56" i="1"/>
  <c r="K56" i="1"/>
  <c r="C57" i="1"/>
  <c r="D57" i="1" s="1"/>
  <c r="G57" i="1"/>
  <c r="K57" i="1"/>
  <c r="C58" i="1"/>
  <c r="D58" i="1" s="1"/>
  <c r="G58" i="1"/>
  <c r="K58" i="1"/>
  <c r="C59" i="1"/>
  <c r="D59" i="1" s="1"/>
  <c r="G59" i="1"/>
  <c r="K59" i="1"/>
  <c r="P59" i="1" s="1"/>
  <c r="C60" i="1"/>
  <c r="D60" i="1" s="1"/>
  <c r="G60" i="1"/>
  <c r="K60" i="1"/>
  <c r="P60" i="1" s="1"/>
  <c r="C61" i="1"/>
  <c r="D61" i="1" s="1"/>
  <c r="G61" i="1"/>
  <c r="K61" i="1"/>
  <c r="P61" i="1" s="1"/>
  <c r="C62" i="1"/>
  <c r="D62" i="1" s="1"/>
  <c r="G62" i="1"/>
  <c r="K62" i="1"/>
  <c r="P62" i="1" s="1"/>
  <c r="C63" i="1"/>
  <c r="D63" i="1" s="1"/>
  <c r="G63" i="1"/>
  <c r="K63" i="1"/>
  <c r="P63" i="1" s="1"/>
  <c r="G64" i="1"/>
  <c r="K64" i="1"/>
  <c r="P64" i="1" s="1"/>
  <c r="C65" i="1"/>
  <c r="D65" i="1" s="1"/>
  <c r="G65" i="1"/>
  <c r="K65" i="1"/>
  <c r="P65" i="1" s="1"/>
  <c r="C66" i="1"/>
  <c r="D66" i="1" s="1"/>
  <c r="G66" i="1"/>
  <c r="K66" i="1"/>
  <c r="P66" i="1" s="1"/>
  <c r="C67" i="1"/>
  <c r="D67" i="1" s="1"/>
  <c r="G67" i="1"/>
  <c r="K67" i="1"/>
  <c r="P67" i="1" s="1"/>
  <c r="C68" i="1"/>
  <c r="D68" i="1" s="1"/>
  <c r="G68" i="1"/>
  <c r="K68" i="1"/>
  <c r="P68" i="1" s="1"/>
  <c r="C69" i="1"/>
  <c r="D69" i="1" s="1"/>
  <c r="G69" i="1"/>
  <c r="K69" i="1"/>
  <c r="P69" i="1" s="1"/>
  <c r="G70" i="1"/>
  <c r="K70" i="1"/>
  <c r="P70" i="1" s="1"/>
  <c r="G71" i="1"/>
  <c r="K71" i="1"/>
  <c r="P71" i="1" s="1"/>
  <c r="M32" i="1" l="1"/>
  <c r="N32" i="1" s="1"/>
  <c r="M11" i="1"/>
  <c r="N11" i="1" s="1"/>
  <c r="M20" i="1"/>
  <c r="N20" i="1" s="1"/>
  <c r="E65" i="1"/>
  <c r="M60" i="1"/>
  <c r="N60" i="1" s="1"/>
  <c r="M62" i="1"/>
  <c r="N62" i="1" s="1"/>
  <c r="E61" i="1"/>
  <c r="E66" i="1"/>
  <c r="E14" i="1"/>
  <c r="E62" i="1"/>
  <c r="M61" i="1"/>
  <c r="N61" i="1" s="1"/>
  <c r="E60" i="1"/>
  <c r="M57" i="1"/>
  <c r="N57" i="1" s="1"/>
  <c r="M55" i="1"/>
  <c r="N55" i="1" s="1"/>
  <c r="M53" i="1"/>
  <c r="N53" i="1" s="1"/>
  <c r="M51" i="1"/>
  <c r="N51" i="1" s="1"/>
  <c r="M49" i="1"/>
  <c r="N49" i="1" s="1"/>
  <c r="E33" i="1"/>
  <c r="E26" i="1"/>
  <c r="M25" i="1"/>
  <c r="N25" i="1" s="1"/>
  <c r="E24" i="1"/>
  <c r="M23" i="1"/>
  <c r="N23" i="1" s="1"/>
  <c r="E22" i="1"/>
  <c r="M21" i="1"/>
  <c r="N21" i="1" s="1"/>
  <c r="E18" i="1"/>
  <c r="M17" i="1"/>
  <c r="N17" i="1" s="1"/>
  <c r="M69" i="1"/>
  <c r="N69" i="1" s="1"/>
  <c r="M68" i="1"/>
  <c r="N68" i="1" s="1"/>
  <c r="E67" i="1"/>
  <c r="M47" i="1"/>
  <c r="N47" i="1" s="1"/>
  <c r="M66" i="1"/>
  <c r="N66" i="1" s="1"/>
  <c r="E63" i="1"/>
  <c r="L62" i="1"/>
  <c r="L61" i="1"/>
  <c r="L60" i="1"/>
  <c r="L59" i="1"/>
  <c r="E58" i="1"/>
  <c r="E56" i="1"/>
  <c r="E54" i="1"/>
  <c r="E52" i="1"/>
  <c r="E50" i="1"/>
  <c r="E48" i="1"/>
  <c r="E38" i="1"/>
  <c r="E17" i="1"/>
  <c r="M6" i="1"/>
  <c r="N6" i="1" s="1"/>
  <c r="M16" i="1"/>
  <c r="N16" i="1" s="1"/>
  <c r="M64" i="1"/>
  <c r="N64" i="1" s="1"/>
  <c r="L71" i="1"/>
  <c r="E68" i="1"/>
  <c r="M67" i="1"/>
  <c r="N67" i="1" s="1"/>
  <c r="M63" i="1"/>
  <c r="N63" i="1" s="1"/>
  <c r="E46" i="1"/>
  <c r="M45" i="1"/>
  <c r="N45" i="1" s="1"/>
  <c r="E44" i="1"/>
  <c r="M43" i="1"/>
  <c r="N43" i="1" s="1"/>
  <c r="E42" i="1"/>
  <c r="M41" i="1"/>
  <c r="N41" i="1" s="1"/>
  <c r="E40" i="1"/>
  <c r="M39" i="1"/>
  <c r="N39" i="1" s="1"/>
  <c r="E36" i="1"/>
  <c r="E34" i="1"/>
  <c r="M33" i="1"/>
  <c r="N33" i="1" s="1"/>
  <c r="E31" i="1"/>
  <c r="M30" i="1"/>
  <c r="N30" i="1" s="1"/>
  <c r="E29" i="1"/>
  <c r="M28" i="1"/>
  <c r="N28" i="1" s="1"/>
  <c r="E27" i="1"/>
  <c r="M26" i="1"/>
  <c r="N26" i="1" s="1"/>
  <c r="E25" i="1"/>
  <c r="M24" i="1"/>
  <c r="N24" i="1" s="1"/>
  <c r="E23" i="1"/>
  <c r="M22" i="1"/>
  <c r="N22" i="1" s="1"/>
  <c r="E21" i="1"/>
  <c r="E20" i="1"/>
  <c r="M19" i="1"/>
  <c r="N19" i="1" s="1"/>
  <c r="M18" i="1"/>
  <c r="N18" i="1" s="1"/>
  <c r="L17" i="1"/>
  <c r="E16" i="1"/>
  <c r="M15" i="1"/>
  <c r="N15" i="1" s="1"/>
  <c r="E12" i="1"/>
  <c r="E11" i="1"/>
  <c r="M10" i="1"/>
  <c r="N10" i="1" s="1"/>
  <c r="E9" i="1"/>
  <c r="M8" i="1"/>
  <c r="N8" i="1" s="1"/>
  <c r="M7" i="1"/>
  <c r="N7" i="1" s="1"/>
  <c r="E69" i="1"/>
  <c r="L69" i="1"/>
  <c r="L68" i="1"/>
  <c r="L67" i="1"/>
  <c r="L66" i="1"/>
  <c r="L65" i="1"/>
  <c r="L63" i="1"/>
  <c r="P58" i="1"/>
  <c r="R58" i="1" s="1"/>
  <c r="T58" i="1" s="1"/>
  <c r="L58" i="1"/>
  <c r="P56" i="1"/>
  <c r="Q56" i="1" s="1"/>
  <c r="L56" i="1"/>
  <c r="P54" i="1"/>
  <c r="Q54" i="1" s="1"/>
  <c r="L54" i="1"/>
  <c r="P52" i="1"/>
  <c r="R52" i="1" s="1"/>
  <c r="T52" i="1" s="1"/>
  <c r="L52" i="1"/>
  <c r="P50" i="1"/>
  <c r="Q50" i="1" s="1"/>
  <c r="L50" i="1"/>
  <c r="P48" i="1"/>
  <c r="U48" i="1" s="1"/>
  <c r="L48" i="1"/>
  <c r="M59" i="1"/>
  <c r="N59" i="1" s="1"/>
  <c r="E59" i="1"/>
  <c r="M58" i="1"/>
  <c r="N58" i="1" s="1"/>
  <c r="P57" i="1"/>
  <c r="Q57" i="1" s="1"/>
  <c r="L57" i="1"/>
  <c r="E57" i="1"/>
  <c r="M56" i="1"/>
  <c r="N56" i="1" s="1"/>
  <c r="P55" i="1"/>
  <c r="R55" i="1" s="1"/>
  <c r="T55" i="1" s="1"/>
  <c r="L55" i="1"/>
  <c r="E55" i="1"/>
  <c r="M54" i="1"/>
  <c r="N54" i="1" s="1"/>
  <c r="P53" i="1"/>
  <c r="Q53" i="1" s="1"/>
  <c r="L53" i="1"/>
  <c r="E53" i="1"/>
  <c r="M52" i="1"/>
  <c r="N52" i="1" s="1"/>
  <c r="P51" i="1"/>
  <c r="R51" i="1" s="1"/>
  <c r="T51" i="1" s="1"/>
  <c r="L51" i="1"/>
  <c r="E51" i="1"/>
  <c r="M50" i="1"/>
  <c r="N50" i="1" s="1"/>
  <c r="P49" i="1"/>
  <c r="Q49" i="1" s="1"/>
  <c r="L49" i="1"/>
  <c r="E49" i="1"/>
  <c r="M48" i="1"/>
  <c r="N48" i="1" s="1"/>
  <c r="E19" i="1"/>
  <c r="E10" i="1"/>
  <c r="M9" i="1"/>
  <c r="N9" i="1" s="1"/>
  <c r="E8" i="1"/>
  <c r="E47" i="1"/>
  <c r="M46" i="1"/>
  <c r="N46" i="1" s="1"/>
  <c r="E45" i="1"/>
  <c r="M44" i="1"/>
  <c r="N44" i="1" s="1"/>
  <c r="E43" i="1"/>
  <c r="M42" i="1"/>
  <c r="N42" i="1" s="1"/>
  <c r="E41" i="1"/>
  <c r="M40" i="1"/>
  <c r="N40" i="1" s="1"/>
  <c r="E39" i="1"/>
  <c r="E37" i="1"/>
  <c r="E35" i="1"/>
  <c r="M34" i="1"/>
  <c r="N34" i="1" s="1"/>
  <c r="L33" i="1"/>
  <c r="E32" i="1"/>
  <c r="M31" i="1"/>
  <c r="N31" i="1" s="1"/>
  <c r="E30" i="1"/>
  <c r="M29" i="1"/>
  <c r="N29" i="1" s="1"/>
  <c r="E28" i="1"/>
  <c r="M27" i="1"/>
  <c r="N27" i="1" s="1"/>
  <c r="L26" i="1"/>
  <c r="L25" i="1"/>
  <c r="L24" i="1"/>
  <c r="L23" i="1"/>
  <c r="L22" i="1"/>
  <c r="L21" i="1"/>
  <c r="E15" i="1"/>
  <c r="E13" i="1"/>
  <c r="M75" i="1"/>
  <c r="N75" i="1" s="1"/>
  <c r="Q66" i="1"/>
  <c r="R66" i="1"/>
  <c r="T66" i="1" s="1"/>
  <c r="U66" i="1"/>
  <c r="Q62" i="1"/>
  <c r="R62" i="1"/>
  <c r="T62" i="1" s="1"/>
  <c r="U62" i="1"/>
  <c r="Q46" i="1"/>
  <c r="U46" i="1"/>
  <c r="R46" i="1"/>
  <c r="T46" i="1" s="1"/>
  <c r="Q68" i="1"/>
  <c r="R68" i="1"/>
  <c r="T68" i="1" s="1"/>
  <c r="U68" i="1"/>
  <c r="Q60" i="1"/>
  <c r="R60" i="1"/>
  <c r="T60" i="1" s="1"/>
  <c r="U60" i="1"/>
  <c r="Q70" i="1"/>
  <c r="R70" i="1"/>
  <c r="T70" i="1" s="1"/>
  <c r="U70" i="1"/>
  <c r="Q64" i="1"/>
  <c r="R64" i="1"/>
  <c r="T64" i="1" s="1"/>
  <c r="U64" i="1"/>
  <c r="M70" i="1"/>
  <c r="N70" i="1" s="1"/>
  <c r="M71" i="1"/>
  <c r="N71" i="1" s="1"/>
  <c r="Q71" i="1"/>
  <c r="R71" i="1"/>
  <c r="T71" i="1" s="1"/>
  <c r="U71" i="1"/>
  <c r="L70" i="1"/>
  <c r="Q69" i="1"/>
  <c r="R69" i="1"/>
  <c r="T69" i="1" s="1"/>
  <c r="U69" i="1"/>
  <c r="Q67" i="1"/>
  <c r="R67" i="1"/>
  <c r="T67" i="1" s="1"/>
  <c r="U67" i="1"/>
  <c r="M65" i="1"/>
  <c r="N65" i="1" s="1"/>
  <c r="Q65" i="1"/>
  <c r="R65" i="1"/>
  <c r="T65" i="1" s="1"/>
  <c r="U65" i="1"/>
  <c r="L64" i="1"/>
  <c r="Q63" i="1"/>
  <c r="R63" i="1"/>
  <c r="T63" i="1" s="1"/>
  <c r="U63" i="1"/>
  <c r="Q61" i="1"/>
  <c r="R61" i="1"/>
  <c r="T61" i="1" s="1"/>
  <c r="U61" i="1"/>
  <c r="Q59" i="1"/>
  <c r="R59" i="1"/>
  <c r="T59" i="1" s="1"/>
  <c r="U59" i="1"/>
  <c r="L46" i="1"/>
  <c r="L45" i="1"/>
  <c r="L44" i="1"/>
  <c r="L43" i="1"/>
  <c r="L42" i="1"/>
  <c r="L41" i="1"/>
  <c r="L40" i="1"/>
  <c r="L39" i="1"/>
  <c r="Q33" i="1"/>
  <c r="U33" i="1"/>
  <c r="R33" i="1"/>
  <c r="T33" i="1" s="1"/>
  <c r="L31" i="1"/>
  <c r="L30" i="1"/>
  <c r="L29" i="1"/>
  <c r="L28" i="1"/>
  <c r="Q26" i="1"/>
  <c r="U26" i="1"/>
  <c r="R26" i="1"/>
  <c r="T26" i="1" s="1"/>
  <c r="Q25" i="1"/>
  <c r="U25" i="1"/>
  <c r="R25" i="1"/>
  <c r="Q24" i="1"/>
  <c r="U24" i="1"/>
  <c r="R24" i="1"/>
  <c r="Q23" i="1"/>
  <c r="U23" i="1"/>
  <c r="R23" i="1"/>
  <c r="Q22" i="1"/>
  <c r="U22" i="1"/>
  <c r="R22" i="1"/>
  <c r="Q21" i="1"/>
  <c r="U21" i="1"/>
  <c r="R21" i="1"/>
  <c r="L19" i="1"/>
  <c r="Q17" i="1"/>
  <c r="U17" i="1"/>
  <c r="R17" i="1"/>
  <c r="L15" i="1"/>
  <c r="L10" i="1"/>
  <c r="L9" i="1"/>
  <c r="L8" i="1"/>
  <c r="P7" i="1"/>
  <c r="L7" i="1"/>
  <c r="E7" i="1"/>
  <c r="P5" i="1"/>
  <c r="Q5" i="1" s="1"/>
  <c r="L5" i="1"/>
  <c r="Q11" i="1"/>
  <c r="U11" i="1"/>
  <c r="R11" i="1"/>
  <c r="Q45" i="1"/>
  <c r="U45" i="1"/>
  <c r="R45" i="1"/>
  <c r="T45" i="1" s="1"/>
  <c r="Q44" i="1"/>
  <c r="U44" i="1"/>
  <c r="R44" i="1"/>
  <c r="T44" i="1" s="1"/>
  <c r="Q43" i="1"/>
  <c r="U43" i="1"/>
  <c r="R43" i="1"/>
  <c r="T43" i="1" s="1"/>
  <c r="Q42" i="1"/>
  <c r="U42" i="1"/>
  <c r="R42" i="1"/>
  <c r="T42" i="1" s="1"/>
  <c r="Q41" i="1"/>
  <c r="U41" i="1"/>
  <c r="R41" i="1"/>
  <c r="T41" i="1" s="1"/>
  <c r="Q40" i="1"/>
  <c r="U40" i="1"/>
  <c r="R40" i="1"/>
  <c r="T40" i="1" s="1"/>
  <c r="Q39" i="1"/>
  <c r="U39" i="1"/>
  <c r="R39" i="1"/>
  <c r="T39" i="1" s="1"/>
  <c r="Q31" i="1"/>
  <c r="U31" i="1"/>
  <c r="R31" i="1"/>
  <c r="T31" i="1" s="1"/>
  <c r="Q30" i="1"/>
  <c r="U30" i="1"/>
  <c r="R30" i="1"/>
  <c r="T30" i="1" s="1"/>
  <c r="Q29" i="1"/>
  <c r="U29" i="1"/>
  <c r="R29" i="1"/>
  <c r="T29" i="1" s="1"/>
  <c r="Q28" i="1"/>
  <c r="U28" i="1"/>
  <c r="R28" i="1"/>
  <c r="T28" i="1" s="1"/>
  <c r="Q19" i="1"/>
  <c r="U19" i="1"/>
  <c r="R19" i="1"/>
  <c r="Q15" i="1"/>
  <c r="U15" i="1"/>
  <c r="R15" i="1"/>
  <c r="Q10" i="1"/>
  <c r="U10" i="1"/>
  <c r="Q9" i="1"/>
  <c r="U9" i="1"/>
  <c r="Q8" i="1"/>
  <c r="U8" i="1"/>
  <c r="P6" i="1"/>
  <c r="L6" i="1"/>
  <c r="Q27" i="1"/>
  <c r="U27" i="1"/>
  <c r="Q13" i="1"/>
  <c r="U13" i="1"/>
  <c r="R47" i="1"/>
  <c r="T47" i="1" s="1"/>
  <c r="R38" i="1"/>
  <c r="T38" i="1" s="1"/>
  <c r="R37" i="1"/>
  <c r="T37" i="1" s="1"/>
  <c r="R36" i="1"/>
  <c r="T36" i="1" s="1"/>
  <c r="R35" i="1"/>
  <c r="T35" i="1" s="1"/>
  <c r="R27" i="1"/>
  <c r="T27" i="1" s="1"/>
  <c r="U38" i="1"/>
  <c r="U36" i="1"/>
  <c r="M72" i="1"/>
  <c r="N72" i="1" s="1"/>
  <c r="Q34" i="1"/>
  <c r="U34" i="1"/>
  <c r="Q32" i="1"/>
  <c r="U32" i="1"/>
  <c r="Q20" i="1"/>
  <c r="U20" i="1"/>
  <c r="Q18" i="1"/>
  <c r="U18" i="1"/>
  <c r="Q16" i="1"/>
  <c r="U16" i="1"/>
  <c r="Q14" i="1"/>
  <c r="U14" i="1"/>
  <c r="Q12" i="1"/>
  <c r="U12" i="1"/>
  <c r="R13" i="1"/>
  <c r="U47" i="1"/>
  <c r="U37" i="1"/>
  <c r="U35" i="1"/>
  <c r="L75" i="1"/>
  <c r="P74" i="1"/>
  <c r="M74" i="1"/>
  <c r="N74" i="1" s="1"/>
  <c r="P73" i="1"/>
  <c r="M73" i="1"/>
  <c r="N73" i="1" s="1"/>
  <c r="L72" i="1"/>
  <c r="P75" i="1"/>
  <c r="P72" i="1"/>
  <c r="R50" i="1" l="1"/>
  <c r="T50" i="1" s="1"/>
  <c r="R54" i="1"/>
  <c r="T54" i="1" s="1"/>
  <c r="Q51" i="1"/>
  <c r="R57" i="1"/>
  <c r="T57" i="1" s="1"/>
  <c r="Q58" i="1"/>
  <c r="R48" i="1"/>
  <c r="T48" i="1" s="1"/>
  <c r="Q52" i="1"/>
  <c r="V8" i="1"/>
  <c r="V9" i="1"/>
  <c r="V10" i="1"/>
  <c r="W36" i="1"/>
  <c r="X36" i="1" s="1"/>
  <c r="V36" i="1"/>
  <c r="W27" i="1"/>
  <c r="X27" i="1" s="1"/>
  <c r="V27" i="1"/>
  <c r="W35" i="1"/>
  <c r="X35" i="1" s="1"/>
  <c r="V35" i="1"/>
  <c r="W47" i="1"/>
  <c r="X47" i="1" s="1"/>
  <c r="V47" i="1"/>
  <c r="W12" i="1"/>
  <c r="X12" i="1" s="1"/>
  <c r="V12" i="1"/>
  <c r="W14" i="1"/>
  <c r="X14" i="1" s="1"/>
  <c r="V14" i="1"/>
  <c r="W16" i="1"/>
  <c r="X16" i="1" s="1"/>
  <c r="V16" i="1"/>
  <c r="W18" i="1"/>
  <c r="X18" i="1" s="1"/>
  <c r="V18" i="1"/>
  <c r="W20" i="1"/>
  <c r="X20" i="1" s="1"/>
  <c r="V20" i="1"/>
  <c r="W32" i="1"/>
  <c r="X32" i="1" s="1"/>
  <c r="V32" i="1"/>
  <c r="W34" i="1"/>
  <c r="X34" i="1" s="1"/>
  <c r="V34" i="1"/>
  <c r="W38" i="1"/>
  <c r="X38" i="1" s="1"/>
  <c r="V38" i="1"/>
  <c r="W15" i="1"/>
  <c r="X15" i="1" s="1"/>
  <c r="V15" i="1"/>
  <c r="W28" i="1"/>
  <c r="X28" i="1" s="1"/>
  <c r="V28" i="1"/>
  <c r="W30" i="1"/>
  <c r="X30" i="1" s="1"/>
  <c r="V30" i="1"/>
  <c r="W39" i="1"/>
  <c r="X39" i="1" s="1"/>
  <c r="V39" i="1"/>
  <c r="W41" i="1"/>
  <c r="X41" i="1" s="1"/>
  <c r="V41" i="1"/>
  <c r="W43" i="1"/>
  <c r="X43" i="1" s="1"/>
  <c r="V43" i="1"/>
  <c r="W45" i="1"/>
  <c r="X45" i="1" s="1"/>
  <c r="V45" i="1"/>
  <c r="W22" i="1"/>
  <c r="X22" i="1" s="1"/>
  <c r="V22" i="1"/>
  <c r="W24" i="1"/>
  <c r="X24" i="1" s="1"/>
  <c r="V24" i="1"/>
  <c r="W26" i="1"/>
  <c r="X26" i="1" s="1"/>
  <c r="V26" i="1"/>
  <c r="W61" i="1"/>
  <c r="X61" i="1" s="1"/>
  <c r="V61" i="1"/>
  <c r="W69" i="1"/>
  <c r="X69" i="1" s="1"/>
  <c r="V69" i="1"/>
  <c r="W71" i="1"/>
  <c r="X71" i="1" s="1"/>
  <c r="V71" i="1"/>
  <c r="W70" i="1"/>
  <c r="X70" i="1" s="1"/>
  <c r="V70" i="1"/>
  <c r="W68" i="1"/>
  <c r="X68" i="1" s="1"/>
  <c r="V68" i="1"/>
  <c r="W46" i="1"/>
  <c r="X46" i="1" s="1"/>
  <c r="V46" i="1"/>
  <c r="W66" i="1"/>
  <c r="X66" i="1" s="1"/>
  <c r="V66" i="1"/>
  <c r="W37" i="1"/>
  <c r="X37" i="1" s="1"/>
  <c r="V37" i="1"/>
  <c r="W13" i="1"/>
  <c r="X13" i="1" s="1"/>
  <c r="V13" i="1"/>
  <c r="W19" i="1"/>
  <c r="X19" i="1" s="1"/>
  <c r="V19" i="1"/>
  <c r="W29" i="1"/>
  <c r="X29" i="1" s="1"/>
  <c r="V29" i="1"/>
  <c r="W31" i="1"/>
  <c r="X31" i="1" s="1"/>
  <c r="V31" i="1"/>
  <c r="W40" i="1"/>
  <c r="X40" i="1" s="1"/>
  <c r="V40" i="1"/>
  <c r="W42" i="1"/>
  <c r="X42" i="1" s="1"/>
  <c r="V42" i="1"/>
  <c r="W44" i="1"/>
  <c r="X44" i="1" s="1"/>
  <c r="V44" i="1"/>
  <c r="W11" i="1"/>
  <c r="X11" i="1" s="1"/>
  <c r="V11" i="1"/>
  <c r="W17" i="1"/>
  <c r="X17" i="1" s="1"/>
  <c r="V17" i="1"/>
  <c r="W21" i="1"/>
  <c r="X21" i="1" s="1"/>
  <c r="V21" i="1"/>
  <c r="W23" i="1"/>
  <c r="X23" i="1" s="1"/>
  <c r="V23" i="1"/>
  <c r="W25" i="1"/>
  <c r="X25" i="1" s="1"/>
  <c r="V25" i="1"/>
  <c r="W33" i="1"/>
  <c r="X33" i="1" s="1"/>
  <c r="V33" i="1"/>
  <c r="W59" i="1"/>
  <c r="X59" i="1" s="1"/>
  <c r="V59" i="1"/>
  <c r="W63" i="1"/>
  <c r="X63" i="1" s="1"/>
  <c r="V63" i="1"/>
  <c r="W65" i="1"/>
  <c r="X65" i="1" s="1"/>
  <c r="V65" i="1"/>
  <c r="W67" i="1"/>
  <c r="X67" i="1" s="1"/>
  <c r="V67" i="1"/>
  <c r="W64" i="1"/>
  <c r="X64" i="1" s="1"/>
  <c r="V64" i="1"/>
  <c r="W60" i="1"/>
  <c r="X60" i="1" s="1"/>
  <c r="V60" i="1"/>
  <c r="W62" i="1"/>
  <c r="X62" i="1" s="1"/>
  <c r="V62" i="1"/>
  <c r="W48" i="1"/>
  <c r="X48" i="1" s="1"/>
  <c r="V48" i="1"/>
  <c r="U49" i="1"/>
  <c r="U55" i="1"/>
  <c r="U58" i="1"/>
  <c r="Q48" i="1"/>
  <c r="U52" i="1"/>
  <c r="R56" i="1"/>
  <c r="T56" i="1" s="1"/>
  <c r="U51" i="1"/>
  <c r="R53" i="1"/>
  <c r="T53" i="1" s="1"/>
  <c r="Q55" i="1"/>
  <c r="U54" i="1"/>
  <c r="U50" i="1"/>
  <c r="U56" i="1"/>
  <c r="R49" i="1"/>
  <c r="T49" i="1" s="1"/>
  <c r="U53" i="1"/>
  <c r="U57" i="1"/>
  <c r="Q75" i="1"/>
  <c r="R75" i="1"/>
  <c r="T75" i="1" s="1"/>
  <c r="U75" i="1"/>
  <c r="Q7" i="1"/>
  <c r="U7" i="1"/>
  <c r="Q72" i="1"/>
  <c r="R72" i="1"/>
  <c r="T72" i="1" s="1"/>
  <c r="U72" i="1"/>
  <c r="Q73" i="1"/>
  <c r="R73" i="1"/>
  <c r="T73" i="1" s="1"/>
  <c r="U73" i="1"/>
  <c r="R74" i="1"/>
  <c r="T74" i="1" s="1"/>
  <c r="U74" i="1"/>
  <c r="Q74" i="1"/>
  <c r="Q6" i="1"/>
  <c r="U6" i="1"/>
  <c r="V6" i="1" l="1"/>
  <c r="V7" i="1"/>
  <c r="W72" i="1"/>
  <c r="X72" i="1" s="1"/>
  <c r="V72" i="1"/>
  <c r="W50" i="1"/>
  <c r="X50" i="1" s="1"/>
  <c r="V50" i="1"/>
  <c r="W51" i="1"/>
  <c r="X51" i="1" s="1"/>
  <c r="V51" i="1"/>
  <c r="W58" i="1"/>
  <c r="X58" i="1" s="1"/>
  <c r="V58" i="1"/>
  <c r="W74" i="1"/>
  <c r="X74" i="1" s="1"/>
  <c r="V74" i="1"/>
  <c r="W73" i="1"/>
  <c r="X73" i="1" s="1"/>
  <c r="V73" i="1"/>
  <c r="W75" i="1"/>
  <c r="X75" i="1" s="1"/>
  <c r="V75" i="1"/>
  <c r="W53" i="1"/>
  <c r="X53" i="1" s="1"/>
  <c r="V53" i="1"/>
  <c r="W56" i="1"/>
  <c r="X56" i="1" s="1"/>
  <c r="V56" i="1"/>
  <c r="W54" i="1"/>
  <c r="X54" i="1" s="1"/>
  <c r="V54" i="1"/>
  <c r="W55" i="1"/>
  <c r="X55" i="1" s="1"/>
  <c r="V55" i="1"/>
  <c r="W57" i="1"/>
  <c r="X57" i="1" s="1"/>
  <c r="V57" i="1"/>
  <c r="W52" i="1"/>
  <c r="X52" i="1" s="1"/>
  <c r="V52" i="1"/>
  <c r="W49" i="1"/>
  <c r="X49" i="1" s="1"/>
  <c r="V49" i="1"/>
</calcChain>
</file>

<file path=xl/comments1.xml><?xml version="1.0" encoding="utf-8"?>
<comments xmlns="http://schemas.openxmlformats.org/spreadsheetml/2006/main">
  <authors>
    <author>jamitchi</author>
    <author>ktrenhol</author>
  </authors>
  <commentList>
    <comment ref="L3" authorId="0">
      <text>
        <r>
          <rPr>
            <b/>
            <sz val="8"/>
            <color indexed="81"/>
            <rFont val="Tahoma"/>
            <family val="2"/>
          </rPr>
          <t>jamitchi:</t>
        </r>
        <r>
          <rPr>
            <sz val="8"/>
            <color indexed="81"/>
            <rFont val="Tahoma"/>
            <family val="2"/>
          </rPr>
          <t xml:space="preserve">
Based on Annual Salary / 52 weeks / 37 hours</t>
        </r>
      </text>
    </comment>
    <comment ref="Q3" authorId="0">
      <text>
        <r>
          <rPr>
            <b/>
            <sz val="8"/>
            <color indexed="81"/>
            <rFont val="Tahoma"/>
            <family val="2"/>
          </rPr>
          <t>jamitchi:</t>
        </r>
        <r>
          <rPr>
            <sz val="8"/>
            <color indexed="81"/>
            <rFont val="Tahoma"/>
            <family val="2"/>
          </rPr>
          <t xml:space="preserve">
Based on Annual Salary / 52 weeks / 37 hours</t>
        </r>
      </text>
    </comment>
    <comment ref="AI3" authorId="1">
      <text>
        <r>
          <rPr>
            <b/>
            <sz val="8"/>
            <color indexed="81"/>
            <rFont val="Tahoma"/>
            <family val="2"/>
          </rPr>
          <t>ktrenhol:</t>
        </r>
        <r>
          <rPr>
            <sz val="8"/>
            <color indexed="81"/>
            <rFont val="Tahoma"/>
            <family val="2"/>
          </rPr>
          <t xml:space="preserve">
Updated 21/3/13</t>
        </r>
      </text>
    </comment>
  </commentList>
</comments>
</file>

<file path=xl/sharedStrings.xml><?xml version="1.0" encoding="utf-8"?>
<sst xmlns="http://schemas.openxmlformats.org/spreadsheetml/2006/main" count="412" uniqueCount="300">
  <si>
    <t>SM1</t>
  </si>
  <si>
    <t>SM2</t>
  </si>
  <si>
    <t>AD1</t>
  </si>
  <si>
    <t>AD2</t>
  </si>
  <si>
    <t>NJC Agreed Spinal Points</t>
  </si>
  <si>
    <t>Spinal Point</t>
  </si>
  <si>
    <t>ResourceLink Grade Codes</t>
  </si>
  <si>
    <t>NYB08-09B Bar at 25</t>
  </si>
  <si>
    <t>NYB10-11B Bar at 31</t>
  </si>
  <si>
    <t>NYB09-10B Bar at 28</t>
  </si>
  <si>
    <t>NYB03-05B Bar at 13</t>
  </si>
  <si>
    <t>NYB03-07B Bar at 13, 16 and 19</t>
  </si>
  <si>
    <t>NYB05-07B Bar at 19</t>
  </si>
  <si>
    <t>NYB11-13BC Bar at 34 and 37, capped at 39</t>
  </si>
  <si>
    <t>Career Grades</t>
  </si>
  <si>
    <t>NYB10-12B Bar at 31 and 34</t>
  </si>
  <si>
    <t>NYB09-11B Bar at 28 and 31</t>
  </si>
  <si>
    <t>NYB06B         Bar at 17</t>
  </si>
  <si>
    <t>NYB11-12B Bar at 34</t>
  </si>
  <si>
    <t>NYB05       346-369</t>
  </si>
  <si>
    <t>NYB06     370-397</t>
  </si>
  <si>
    <t>NYB07    398-422</t>
  </si>
  <si>
    <t>NYB08     423-446</t>
  </si>
  <si>
    <t>NYB09    447-474</t>
  </si>
  <si>
    <t>NYB10    475-509</t>
  </si>
  <si>
    <t>NYB11    510-550</t>
  </si>
  <si>
    <t>NYB12     551-587</t>
  </si>
  <si>
    <t>NYB13    588-624</t>
  </si>
  <si>
    <t>NYB14      625-698</t>
  </si>
  <si>
    <t>NYB15    699-805</t>
  </si>
  <si>
    <t>NYB16     806-940</t>
  </si>
  <si>
    <t>NYSM1     941-1075</t>
  </si>
  <si>
    <t>NYSM2  1076-1130</t>
  </si>
  <si>
    <t>NYAD1  1131-1352</t>
  </si>
  <si>
    <t>NYB04,     312-345</t>
  </si>
  <si>
    <t>Spine</t>
  </si>
  <si>
    <t>Salary from</t>
  </si>
  <si>
    <t>point</t>
  </si>
  <si>
    <t>*</t>
  </si>
  <si>
    <t>**</t>
  </si>
  <si>
    <t>***</t>
  </si>
  <si>
    <t>professional assessments.</t>
  </si>
  <si>
    <t>****</t>
  </si>
  <si>
    <t>EDUCATIONAL PSYCHOLOGISTS - SCALE A</t>
  </si>
  <si>
    <t>Notes:</t>
  </si>
  <si>
    <t>TRAINEE EDUCATIONAL PSYCHOLOGISTS</t>
  </si>
  <si>
    <t>ASSISTANT EDUCATIONAL PSYCHOLOGISTS</t>
  </si>
  <si>
    <t>JOINT NEGOTIATING COMMITTEE FOR YOUTH AND COMMUNITY WORKERS</t>
  </si>
  <si>
    <t>Youth and Community Support Worker Range</t>
  </si>
  <si>
    <t>Pay Points</t>
  </si>
  <si>
    <t>NYAD2  1353-1834</t>
  </si>
  <si>
    <t>Salary prior to Revised pay award 1/4/09</t>
  </si>
  <si>
    <t>Salary               1 April 2009 Revised     @ 1%</t>
  </si>
  <si>
    <t>old scales</t>
  </si>
  <si>
    <t>scale 1</t>
  </si>
  <si>
    <t>scale 2</t>
  </si>
  <si>
    <t>scale 3</t>
  </si>
  <si>
    <t>scale 4</t>
  </si>
  <si>
    <t>scale 5</t>
  </si>
  <si>
    <t>scale 6</t>
  </si>
  <si>
    <t>SO 1</t>
  </si>
  <si>
    <t>SO 2</t>
  </si>
  <si>
    <t>PO 1-4</t>
  </si>
  <si>
    <t>PO 3-6</t>
  </si>
  <si>
    <t>PO 6-9</t>
  </si>
  <si>
    <t>PO 9-12</t>
  </si>
  <si>
    <t>PO 12-15</t>
  </si>
  <si>
    <t>PO 14-17</t>
  </si>
  <si>
    <t>NYB03,     281-311</t>
  </si>
  <si>
    <t>APPENDIX A</t>
  </si>
  <si>
    <t>SOULBURY EDUCATIONAL IMPROVEMENT PROFESSIONALS [EIMPs] SPINE</t>
  </si>
  <si>
    <t>(formerly known as Advisers/Inspectors spine)</t>
  </si>
  <si>
    <t xml:space="preserve">Salary scales to consist of not more than four consecutive points, </t>
  </si>
  <si>
    <t>based on the duties and responsibilities attaching to posts</t>
  </si>
  <si>
    <t>and the need to recruit and motivate staff.</t>
  </si>
  <si>
    <t xml:space="preserve">* normal minimum point for EIP undertaking the full range of duties </t>
  </si>
  <si>
    <t>at this level</t>
  </si>
  <si>
    <t xml:space="preserve">** normal minimum point for Senior EIP undertaking the full range of duties </t>
  </si>
  <si>
    <t>**** Extension to range to accommodate structured professional assessments.</t>
  </si>
  <si>
    <t xml:space="preserve">Salary scales to consist of six consecutive points, based on the duties </t>
  </si>
  <si>
    <t>and responsibilities attaching to posts and the need to recruit, retain and motivate staff.</t>
  </si>
  <si>
    <t>Extension to scale to accommodate structured professional assessment points</t>
  </si>
  <si>
    <t>SENIOR &amp; PRINCIPAL EDUCATIONAL PSYCHOLOGISTS - SCALE B</t>
  </si>
  <si>
    <t xml:space="preserve">Salary scales to consist of not more than four consecutive points, based on the duties </t>
  </si>
  <si>
    <t xml:space="preserve">Normal minimum point for the Principal Educational Psychologist undertaking the full </t>
  </si>
  <si>
    <t>range of duties at this level.</t>
  </si>
  <si>
    <t xml:space="preserve">Extension to range to accommodate discretionary scale points and structured </t>
  </si>
  <si>
    <t>NYCC - Main grade EPs</t>
  </si>
  <si>
    <t>NYCC grades shown include the max 3 SPA points</t>
  </si>
  <si>
    <t>SLEEPING IN DUTY ALLOWANCES</t>
  </si>
  <si>
    <t>Sleeping in Allowance</t>
  </si>
  <si>
    <t>Disturbance Element</t>
  </si>
  <si>
    <t>Salary               1 April 2012 no pay award (0%)</t>
  </si>
  <si>
    <t>Hourly Rate £</t>
  </si>
  <si>
    <t>Increment Amounts</t>
  </si>
  <si>
    <t>% increase</t>
  </si>
  <si>
    <t>Salary</t>
  </si>
  <si>
    <t>Salary      1 April 2007</t>
  </si>
  <si>
    <t>Salary      1 April 2008      @ 2.45%</t>
  </si>
  <si>
    <t>new</t>
  </si>
  <si>
    <t>Salary      1 April 2008 Revised     @ 2.75%</t>
  </si>
  <si>
    <t>Salary               1 April 2010 no pay award (0%)</t>
  </si>
  <si>
    <t>Salary               1 April 2011 no pay award (0%)</t>
  </si>
  <si>
    <t>Tax Band</t>
  </si>
  <si>
    <t>2013/14 (with 1% against all scp up to and including DIR1)</t>
  </si>
  <si>
    <t xml:space="preserve">NYB02,   258-280 </t>
  </si>
  <si>
    <t>NYB01,    1-257 (until 30/09/2013)</t>
  </si>
  <si>
    <t>Pension band 2013/14 (with 1% pay award)</t>
  </si>
  <si>
    <t>december payment</t>
  </si>
  <si>
    <t>april payment</t>
  </si>
  <si>
    <t>pay from 1st jan 15</t>
  </si>
  <si>
    <t>0.45% calculation</t>
  </si>
  <si>
    <t>pay from 1st Oct 15</t>
  </si>
  <si>
    <t>D1</t>
  </si>
  <si>
    <t>Hourly Rate £ from 01/01/2015</t>
  </si>
  <si>
    <t>D2</t>
  </si>
  <si>
    <t>D3</t>
  </si>
  <si>
    <t>CE1</t>
  </si>
  <si>
    <t>Pension Band 2015/16</t>
  </si>
  <si>
    <t>20% tax up to £42,385</t>
  </si>
  <si>
    <t>40% tax £42,385 and above</t>
  </si>
  <si>
    <t>Oct 15 hourly rates</t>
  </si>
  <si>
    <t xml:space="preserve">NYB01,    1-257 </t>
  </si>
  <si>
    <t>DIR Grades</t>
  </si>
  <si>
    <t>CEX</t>
  </si>
  <si>
    <t>Apr 16 hourly rates</t>
  </si>
  <si>
    <t>Pension Band 2016/17</t>
  </si>
  <si>
    <t>pay from 1st April 2016 (NLW)</t>
  </si>
  <si>
    <t>Hrly Rates April 2016 (pay award)</t>
  </si>
  <si>
    <t>Hrly Rates April 2017 (pay award)</t>
  </si>
  <si>
    <t xml:space="preserve">Pay from 1st April 2016 (pay award) </t>
  </si>
  <si>
    <t>Pay from 1st April 2017 (pay award)</t>
  </si>
  <si>
    <t>1.9.16</t>
  </si>
  <si>
    <t>NYCC - Seniors</t>
  </si>
  <si>
    <t>NYCC Lead Eps</t>
  </si>
  <si>
    <t>JESC 206</t>
  </si>
  <si>
    <t xml:space="preserve">Salary from </t>
  </si>
  <si>
    <t xml:space="preserve">*** normal minimum point for leading EIP undertaking the full range of duties </t>
  </si>
  <si>
    <t>JESC 205</t>
  </si>
  <si>
    <t>w.e.f 1.9.16</t>
  </si>
  <si>
    <t xml:space="preserve"> Discretionary point </t>
  </si>
  <si>
    <t>w.e.f. 1.9.16</t>
  </si>
  <si>
    <t>TEACHING STAFF</t>
  </si>
  <si>
    <t>JESTRE 204</t>
  </si>
  <si>
    <t>EMPLOYED IN RESIDENTIAL SOCIAL SERVICE ESTABLISHMENTS:</t>
  </si>
  <si>
    <t>ALLOWANCES FROM 1 SEPTEMBER 2016</t>
  </si>
  <si>
    <t>EXTRANEOUS DUTY ALLOWANCE</t>
  </si>
  <si>
    <t>COMMUNITY HOME ADDITION</t>
  </si>
  <si>
    <t>Qualified</t>
  </si>
  <si>
    <t>Unqualified</t>
  </si>
  <si>
    <t>SLEEPING-IN DUTY ALLOWANCE</t>
  </si>
  <si>
    <t>A night</t>
  </si>
  <si>
    <t>Disturbance element per hour</t>
  </si>
  <si>
    <t>SECURE UNIT ALLOWANCE</t>
  </si>
  <si>
    <t>INSTRUCTORS - SCALE A</t>
  </si>
  <si>
    <r>
      <t xml:space="preserve"> </t>
    </r>
    <r>
      <rPr>
        <b/>
        <sz val="11"/>
        <rFont val="Arial"/>
        <family val="2"/>
      </rPr>
      <t>INSTRUCTORS - SCALE B</t>
    </r>
  </si>
  <si>
    <t>TEACHERS IN RESIDENTIAL SPECIAL SCHOOLS:</t>
  </si>
  <si>
    <t>Additional Duty Allowance</t>
  </si>
  <si>
    <t>(i)</t>
  </si>
  <si>
    <t>Resident Heads</t>
  </si>
  <si>
    <t>Group</t>
  </si>
  <si>
    <t>No. of residential places as percentage of total places</t>
  </si>
  <si>
    <t>0-20%</t>
  </si>
  <si>
    <t>21%-40%</t>
  </si>
  <si>
    <t>41%-65%</t>
  </si>
  <si>
    <t>66%-100%</t>
  </si>
  <si>
    <t>2(s)</t>
  </si>
  <si>
    <t>3(s)</t>
  </si>
  <si>
    <t>4(s)</t>
  </si>
  <si>
    <t>5 and above</t>
  </si>
  <si>
    <t>(ii)</t>
  </si>
  <si>
    <t>Other Heads</t>
  </si>
  <si>
    <t>(iii)</t>
  </si>
  <si>
    <t>Resident Deputies</t>
  </si>
  <si>
    <t>(iv)</t>
  </si>
  <si>
    <t>Non-Resident Deputies</t>
  </si>
  <si>
    <t>(v)</t>
  </si>
  <si>
    <t>Resident Assistant Heads</t>
  </si>
  <si>
    <t>(vi)</t>
  </si>
  <si>
    <t>Non-Resident Assistant Heads</t>
  </si>
  <si>
    <t>Pension Band 2017/18</t>
  </si>
  <si>
    <t>20% tax up to £45,000</t>
  </si>
  <si>
    <t>Period</t>
  </si>
  <si>
    <t>0 - 6 months</t>
  </si>
  <si>
    <t>7 - 12 months</t>
  </si>
  <si>
    <t>increase after 6 months upon receipt of satisfactory performance review</t>
  </si>
  <si>
    <t>pro rata for part-time posts</t>
  </si>
  <si>
    <t>Upon completion of apprenticeship, move to NYCC pay spine at the bottom of the job evaluated pay band for the post.</t>
  </si>
  <si>
    <t>CET MAINSCALE</t>
  </si>
  <si>
    <t>M1</t>
  </si>
  <si>
    <t>M2</t>
  </si>
  <si>
    <t>M3</t>
  </si>
  <si>
    <t>M4</t>
  </si>
  <si>
    <t>M5</t>
  </si>
  <si>
    <t>M6</t>
  </si>
  <si>
    <t>UPS</t>
  </si>
  <si>
    <t>UNQUALIFIED</t>
  </si>
  <si>
    <t>TEACHING STAFF as at 01.09.2017</t>
  </si>
  <si>
    <t>ALLOWANCES</t>
  </si>
  <si>
    <t>TLR 2:1</t>
  </si>
  <si>
    <t>TLR 2:2</t>
  </si>
  <si>
    <t>TLR3a</t>
  </si>
  <si>
    <t>TLR3b</t>
  </si>
  <si>
    <t>TLR3c</t>
  </si>
  <si>
    <t>SEN1</t>
  </si>
  <si>
    <t>SEN2</t>
  </si>
  <si>
    <t>Leadership group</t>
  </si>
  <si>
    <t>Min</t>
  </si>
  <si>
    <t>Max</t>
  </si>
  <si>
    <t>Headteachers</t>
  </si>
  <si>
    <t>Group 1</t>
  </si>
  <si>
    <t>Group 2</t>
  </si>
  <si>
    <t>Group 3</t>
  </si>
  <si>
    <t>Group 4</t>
  </si>
  <si>
    <t>Group 5</t>
  </si>
  <si>
    <t>Group 6</t>
  </si>
  <si>
    <t>Group 7</t>
  </si>
  <si>
    <t>Group 8</t>
  </si>
  <si>
    <t>Upper pay range</t>
  </si>
  <si>
    <t>Leading practitioner pay range</t>
  </si>
  <si>
    <t>Unqualified pay range</t>
  </si>
  <si>
    <t>ALLOWANCES FROM 1 SEPTEMBER 2017</t>
  </si>
  <si>
    <t>Sleeping-in Duty Allowance</t>
  </si>
  <si>
    <t>Per night</t>
  </si>
  <si>
    <t>Allowances effective from 01/09/17:</t>
  </si>
  <si>
    <t>Classroom teachers pay range</t>
  </si>
  <si>
    <t>Min U1</t>
  </si>
  <si>
    <t>U2</t>
  </si>
  <si>
    <t>Max U3</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</si>
  <si>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</si>
  <si>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</si>
  <si>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</si>
  <si>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</si>
  <si>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</si>
  <si>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</si>
  <si>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</si>
  <si>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</si>
  <si>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</si>
  <si>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</si>
  <si>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</si>
  <si>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</si>
  <si>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</si>
  <si>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</si>
  <si>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</si>
  <si>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</si>
  <si>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</si>
  <si>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</si>
  <si>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</si>
  <si>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</si>
  <si>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</si>
  <si>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</si>
  <si>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</si>
  <si>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</si>
  <si>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</si>
  <si>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</si>
  <si>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</si>
  <si>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</si>
  <si>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</si>
  <si>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</si>
  <si>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</si>
  <si>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</si>
  <si>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</si>
  <si>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</si>
  <si>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</si>
  <si>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</si>
  <si>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</si>
  <si>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</si>
  <si>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</si>
  <si>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</si>
  <si>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</si>
  <si>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</si>
  <si>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</si>
  <si>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</si>
  <si>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</si>
  <si>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</si>
  <si>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</si>
  <si>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</si>
  <si>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</si>
  <si>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</si>
  <si>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TLR payments</t>
  </si>
  <si>
    <t>TLR1</t>
  </si>
  <si>
    <t>TLR2</t>
  </si>
  <si>
    <t>TLR3</t>
  </si>
  <si>
    <t>SEN allowances</t>
  </si>
  <si>
    <t>SOULBURY PAY AGREEMENT 2016 &amp; 2017</t>
  </si>
  <si>
    <t>1.9.17</t>
  </si>
  <si>
    <t>Pay from 1st April 2018 (pay award)</t>
  </si>
  <si>
    <t>Hrly Rates April 2018 (pay award)</t>
  </si>
  <si>
    <t>20% tax up to £46350</t>
  </si>
  <si>
    <t>40% tax £46351 and above</t>
  </si>
  <si>
    <t>Tax Band 2018/19</t>
  </si>
  <si>
    <t>Pension Band 2018/19</t>
  </si>
  <si>
    <t xml:space="preserve">Hrly Rates April 2018 </t>
  </si>
  <si>
    <t>Pay from 1st April 2018 per week</t>
  </si>
  <si>
    <r>
      <t>Where an apprenticeship continues beyond 12 months (typically in schools) where they are not progressing into an established post, the apprentice must be paid the appropriate National Minimum Wage for their age. Age related NMW from 1</t>
    </r>
    <r>
      <rPr>
        <vertAlign val="superscript"/>
        <sz val="10"/>
        <rFont val="Arial"/>
        <family val="2"/>
      </rPr>
      <t>st</t>
    </r>
    <r>
      <rPr>
        <sz val="10"/>
        <rFont val="Arial"/>
        <family val="2"/>
      </rPr>
      <t xml:space="preserve"> Apr 18 is as follows:</t>
    </r>
  </si>
  <si>
    <r>
      <t>·</t>
    </r>
    <r>
      <rPr>
        <sz val="7"/>
        <color rgb="FF000000"/>
        <rFont val="Times New Roman"/>
        <family val="1"/>
      </rPr>
      <t xml:space="preserve">     </t>
    </r>
    <r>
      <rPr>
        <sz val="9.5"/>
        <color rgb="FF000000"/>
        <rFont val="Verdana"/>
        <family val="2"/>
      </rPr>
      <t>£7.83 per hour - 25 yrs old and over</t>
    </r>
  </si>
  <si>
    <r>
      <t>·</t>
    </r>
    <r>
      <rPr>
        <sz val="7"/>
        <color rgb="FF000000"/>
        <rFont val="Times New Roman"/>
        <family val="1"/>
      </rPr>
      <t xml:space="preserve">     </t>
    </r>
    <r>
      <rPr>
        <sz val="9.5"/>
        <color rgb="FF000000"/>
        <rFont val="Verdana"/>
        <family val="2"/>
      </rPr>
      <t>£7.38 per hour - 21-24 yrs old</t>
    </r>
  </si>
  <si>
    <r>
      <t>·</t>
    </r>
    <r>
      <rPr>
        <sz val="7"/>
        <color rgb="FF000000"/>
        <rFont val="Times New Roman"/>
        <family val="1"/>
      </rPr>
      <t xml:space="preserve">     </t>
    </r>
    <r>
      <rPr>
        <sz val="9.5"/>
        <color rgb="FF000000"/>
        <rFont val="Verdana"/>
        <family val="2"/>
      </rPr>
      <t>£5.90 per hour 18-20 yrs old</t>
    </r>
  </si>
  <si>
    <r>
      <t>·</t>
    </r>
    <r>
      <rPr>
        <sz val="7"/>
        <color rgb="FF000000"/>
        <rFont val="Times New Roman"/>
        <family val="1"/>
      </rPr>
      <t xml:space="preserve">     </t>
    </r>
    <r>
      <rPr>
        <sz val="9.5"/>
        <color rgb="FF000000"/>
        <rFont val="Verdana"/>
        <family val="2"/>
      </rPr>
      <t>£4.20 per hour - 16-17 yrs old</t>
    </r>
  </si>
  <si>
    <t>£3.70 for apprentices under 19 or 19 or over who are in the first year of apprenticeship.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</si>
</sst>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3" formatCode="_-* #,##0.00_-;\-* #,##0.00_-;_-* &quot;-&quot;??_-;_-@_-"/>
    <numFmt numFmtId="164" formatCode="&quot;£&quot;#,##0"/>
    <numFmt numFmtId="165" formatCode="&quot;£&quot;#,##0.00"/>
    <numFmt numFmtId="166" formatCode="0.0%"/>
    <numFmt numFmtId="167" formatCode="_-* #,##0_-;\-* #,##0_-;_-* &quot;-&quot;??_-;_-@_-"/>
  </numFmts>
  <fonts count="28">
    <font>
      <sz val="10"/>
      <name val="Arial"/>
    </font>
    <font>
      <sz val="10"/>
      <name val="Arial"/>
      <family val="2"/>
    </font>
    <font>
      <sz val="8"/>
      <name val="Arial"/>
      <family val="2"/>
    </font>
    <font>
      <u/>
      <sz val="10"/>
      <name val="Arial"/>
      <family val="2"/>
    </font>
    <font>
      <b/>
      <sz val="10"/>
      <name val="Arial"/>
      <family val="2"/>
    </font>
    <font>
      <b/>
      <u/>
      <sz val="10"/>
      <name val="Arial"/>
      <family val="2"/>
    </font>
    <font>
      <b/>
      <sz val="10"/>
      <name val="Frutiger 45 Light"/>
    </font>
    <font>
      <b/>
      <u/>
      <sz val="10"/>
      <name val="Frutiger 45 Light"/>
    </font>
    <font>
      <b/>
      <sz val="10"/>
      <name val="Frutiger 45 Light"/>
      <family val="2"/>
    </font>
    <font>
      <sz val="10"/>
      <name val="Frutiger 45 Light"/>
    </font>
    <font>
      <sz val="10"/>
      <name val="Frutiger 45 Light"/>
      <family val="2"/>
    </font>
    <font>
      <sz val="10"/>
      <name val="Arial"/>
      <family val="2"/>
    </font>
    <font>
      <sz val="8"/>
      <name val="Arial"/>
      <family val="2"/>
    </font>
    <font>
      <sz val="7"/>
      <name val="Arial"/>
      <family val="2"/>
    </font>
    <font>
      <sz val="9"/>
      <name val="Arial"/>
      <family val="2"/>
    </font>
    <font>
      <i/>
      <sz val="10"/>
      <name val="Arial"/>
      <family val="2"/>
    </font>
    <font>
      <b/>
      <i/>
      <u/>
      <sz val="10"/>
      <name val="Arial"/>
      <family val="2"/>
    </font>
    <font>
      <b/>
      <sz val="8"/>
      <color indexed="81"/>
      <name val="Tahoma"/>
      <family val="2"/>
    </font>
    <font>
      <sz val="8"/>
      <color indexed="81"/>
      <name val="Tahoma"/>
      <family val="2"/>
    </font>
    <font>
      <sz val="10"/>
      <color indexed="10"/>
      <name val="Arial"/>
      <family val="2"/>
    </font>
    <font>
      <b/>
      <sz val="12"/>
      <name val="Frutiger 45 Light"/>
    </font>
    <font>
      <b/>
      <sz val="11"/>
      <name val="Arial"/>
      <family val="2"/>
    </font>
    <font>
      <sz val="11"/>
      <name val="Arial"/>
      <family val="2"/>
    </font>
    <font>
      <b/>
      <u/>
      <sz val="11"/>
      <name val="Arial"/>
      <family val="2"/>
    </font>
    <font>
      <vertAlign val="superscript"/>
      <sz val="10"/>
      <name val="Arial"/>
      <family val="2"/>
    </font>
    <font>
      <sz val="10"/>
      <color rgb="FF000000"/>
      <name val="Symbol"/>
      <family val="1"/>
      <charset val="2"/>
    </font>
    <font>
      <sz val="7"/>
      <color rgb="FF000000"/>
      <name val="Times New Roman"/>
      <family val="1"/>
    </font>
    <font>
      <sz val="9.5"/>
      <color rgb="FF000000"/>
      <name val="Verdana"/>
      <family val="2"/>
    </font>
  </fonts>
  <fills count="32">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
      <patternFill patternType="solid">
        <fgColor indexed="57"/>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rgb="FF92D050"/>
        <bgColor indexed="64"/>
      </patternFill>
    </fill>
    <fill>
      <patternFill patternType="solid">
        <fgColor rgb="FFFFC000"/>
        <bgColor indexed="64"/>
      </patternFill>
    </fill>
    <fill>
      <patternFill patternType="solid">
        <fgColor rgb="FF339966"/>
        <bgColor indexed="64"/>
      </patternFill>
    </fill>
    <fill>
      <patternFill patternType="solid">
        <fgColor rgb="FFFFFF0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79998168889431442"/>
        <bgColor indexed="64"/>
      </patternFill>
    </fill>
    <fill>
      <patternFill patternType="solid">
        <fgColor rgb="FFFF0000"/>
        <bgColor indexed="64"/>
      </patternFill>
    </fill>
    <fill>
      <patternFill patternType="solid">
        <fgColor theme="6" tint="0.39997558519241921"/>
        <bgColor indexed="64"/>
      </patternFill>
    </fill>
    <fill>
      <patternFill patternType="solid">
        <fgColor rgb="FF00FFFF"/>
        <bgColor indexed="64"/>
      </patternFill>
    </fill>
    <fill>
      <patternFill patternType="solid">
        <fgColor theme="9" tint="-0.249977111117893"/>
        <bgColor indexed="64"/>
      </patternFill>
    </fill>
    <fill>
      <patternFill patternType="solid">
        <fgColor rgb="FF2EF2B1"/>
        <bgColor indexed="64"/>
      </patternFill>
    </fill>
    <fill>
      <patternFill patternType="solid">
        <fgColor rgb="FFCCFFCC"/>
        <bgColor indexed="64"/>
      </patternFill>
    </fill>
    <fill>
      <patternFill patternType="solid">
        <fgColor rgb="FFCCECFF"/>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1" fillId="0" borderId="0"/>
  </cellStyleXfs>
  <cellXfs count="388">
    <xf numFmtId="0" fontId="0" fillId="0" borderId="0" xfId="0"/>
    <xf numFmtId="0" fontId="0" fillId="0" borderId="0" xfId="0" applyBorder="1"/>
    <xf numFmtId="0" fontId="4" fillId="0" borderId="0" xfId="0" applyFont="1"/>
    <xf numFmtId="0" fontId="0" fillId="2" borderId="2" xfId="0" applyFill="1" applyBorder="1" applyAlignment="1">
      <alignment horizontal="center" vertical="center" textRotation="90"/>
    </xf>
    <xf numFmtId="0" fontId="4" fillId="0" borderId="0" xfId="0" applyFont="1" applyAlignment="1">
      <alignment horizontal="center"/>
    </xf>
    <xf numFmtId="0" fontId="5" fillId="0" borderId="0" xfId="2" applyFont="1" applyBorder="1"/>
    <xf numFmtId="0" fontId="4" fillId="0" borderId="0" xfId="2" applyFont="1" applyAlignment="1">
      <alignment horizontal="center"/>
    </xf>
    <xf numFmtId="0" fontId="5" fillId="0" borderId="0" xfId="2" applyFont="1" applyBorder="1" applyAlignment="1">
      <alignment horizontal="center"/>
    </xf>
    <xf numFmtId="0" fontId="4" fillId="0" borderId="5" xfId="2" applyFont="1" applyBorder="1" applyAlignment="1">
      <alignment horizontal="center"/>
    </xf>
    <xf numFmtId="0" fontId="15" fillId="0" borderId="0" xfId="2" applyFont="1"/>
    <xf numFmtId="0" fontId="5" fillId="0" borderId="0" xfId="2" applyFont="1"/>
    <xf numFmtId="0" fontId="16" fillId="0" borderId="0" xfId="2" applyFont="1"/>
    <xf numFmtId="0" fontId="4" fillId="0" borderId="0" xfId="2" applyFont="1" applyBorder="1" applyAlignment="1">
      <alignment horizontal="center"/>
    </xf>
    <xf numFmtId="0" fontId="4" fillId="0" borderId="0" xfId="2" applyFont="1"/>
    <xf numFmtId="0" fontId="4" fillId="0" borderId="0" xfId="2" applyFont="1" applyBorder="1"/>
    <xf numFmtId="0" fontId="0" fillId="0" borderId="0" xfId="0" applyAlignment="1">
      <alignment vertical="center"/>
    </xf>
    <xf numFmtId="166" fontId="0" fillId="0" borderId="0" xfId="0" applyNumberFormat="1" applyAlignment="1">
      <alignment vertical="center"/>
    </xf>
    <xf numFmtId="0" fontId="0" fillId="0" borderId="0" xfId="0" applyAlignment="1">
      <alignment vertical="center" wrapText="1"/>
    </xf>
    <xf numFmtId="0" fontId="12" fillId="0" borderId="0" xfId="0" applyFont="1" applyAlignment="1">
      <alignment vertical="center"/>
    </xf>
    <xf numFmtId="0" fontId="14" fillId="0" borderId="0" xfId="0" applyFont="1" applyAlignment="1">
      <alignment vertical="center" wrapText="1"/>
    </xf>
    <xf numFmtId="0" fontId="12" fillId="0" borderId="7" xfId="0" applyFont="1" applyBorder="1" applyAlignment="1">
      <alignment vertical="center"/>
    </xf>
    <xf numFmtId="0" fontId="0" fillId="0" borderId="0" xfId="0" applyBorder="1" applyAlignment="1">
      <alignment vertical="center" wrapText="1"/>
    </xf>
    <xf numFmtId="0" fontId="13" fillId="3" borderId="8" xfId="0" applyFont="1" applyFill="1" applyBorder="1" applyAlignment="1">
      <alignment vertical="center"/>
    </xf>
    <xf numFmtId="0" fontId="13" fillId="0" borderId="0" xfId="0" applyFont="1" applyAlignment="1">
      <alignment vertical="center"/>
    </xf>
    <xf numFmtId="0" fontId="14" fillId="0" borderId="0" xfId="0" applyFont="1" applyBorder="1" applyAlignment="1">
      <alignment vertical="center" wrapText="1"/>
    </xf>
    <xf numFmtId="0" fontId="13" fillId="0" borderId="0" xfId="0" applyFont="1" applyFill="1" applyAlignment="1">
      <alignment vertical="center"/>
    </xf>
    <xf numFmtId="0" fontId="13" fillId="8" borderId="0" xfId="0" applyFont="1" applyFill="1" applyAlignment="1">
      <alignment vertical="center"/>
    </xf>
    <xf numFmtId="0" fontId="13" fillId="3" borderId="9" xfId="0" applyFont="1" applyFill="1" applyBorder="1" applyAlignment="1">
      <alignment vertical="center"/>
    </xf>
    <xf numFmtId="0" fontId="13" fillId="3" borderId="10" xfId="0" applyFont="1" applyFill="1" applyBorder="1" applyAlignment="1">
      <alignment vertical="center"/>
    </xf>
    <xf numFmtId="0" fontId="13" fillId="3" borderId="2" xfId="0" applyFont="1" applyFill="1" applyBorder="1" applyAlignment="1">
      <alignment vertical="center"/>
    </xf>
    <xf numFmtId="0" fontId="13" fillId="9" borderId="10" xfId="0" applyFont="1" applyFill="1" applyBorder="1" applyAlignment="1">
      <alignment vertical="center"/>
    </xf>
    <xf numFmtId="0" fontId="13" fillId="3" borderId="4" xfId="0" applyFont="1" applyFill="1" applyBorder="1" applyAlignment="1">
      <alignment vertical="center"/>
    </xf>
    <xf numFmtId="0" fontId="13" fillId="3" borderId="6" xfId="0" applyFont="1" applyFill="1" applyBorder="1" applyAlignment="1">
      <alignment vertical="center"/>
    </xf>
    <xf numFmtId="0" fontId="13" fillId="5" borderId="10" xfId="0" applyFont="1" applyFill="1" applyBorder="1" applyAlignment="1">
      <alignment vertical="center"/>
    </xf>
    <xf numFmtId="0" fontId="13" fillId="5" borderId="8" xfId="0" applyFont="1" applyFill="1" applyBorder="1" applyAlignment="1">
      <alignment vertical="center"/>
    </xf>
    <xf numFmtId="0" fontId="13" fillId="5" borderId="2" xfId="0" applyFont="1" applyFill="1" applyBorder="1" applyAlignment="1">
      <alignment vertical="center"/>
    </xf>
    <xf numFmtId="0" fontId="13" fillId="5" borderId="9" xfId="0" applyFont="1" applyFill="1" applyBorder="1" applyAlignment="1">
      <alignment vertical="center"/>
    </xf>
    <xf numFmtId="0" fontId="13" fillId="5" borderId="11" xfId="0" applyFont="1" applyFill="1" applyBorder="1" applyAlignment="1">
      <alignment vertical="center"/>
    </xf>
    <xf numFmtId="0" fontId="13" fillId="5" borderId="3" xfId="0" applyFont="1" applyFill="1" applyBorder="1" applyAlignment="1">
      <alignment vertical="center"/>
    </xf>
    <xf numFmtId="1" fontId="11" fillId="0" borderId="0" xfId="0" applyNumberFormat="1" applyFont="1" applyAlignment="1">
      <alignment horizontal="right" vertical="center"/>
    </xf>
    <xf numFmtId="4" fontId="0" fillId="0" borderId="0" xfId="0" applyNumberFormat="1" applyAlignment="1">
      <alignment horizontal="center" vertical="center"/>
    </xf>
    <xf numFmtId="4" fontId="0" fillId="0" borderId="1" xfId="0" applyNumberFormat="1" applyBorder="1" applyAlignment="1">
      <alignment horizontal="center" vertical="center" wrapText="1"/>
    </xf>
    <xf numFmtId="4" fontId="0" fillId="0" borderId="10" xfId="0" applyNumberFormat="1" applyBorder="1" applyAlignment="1">
      <alignment horizontal="center" vertical="center"/>
    </xf>
    <xf numFmtId="4" fontId="0" fillId="0" borderId="10" xfId="0" applyNumberFormat="1" applyBorder="1" applyAlignment="1">
      <alignment horizontal="right" vertical="center"/>
    </xf>
    <xf numFmtId="4" fontId="0" fillId="0" borderId="8" xfId="0" applyNumberFormat="1" applyBorder="1" applyAlignment="1">
      <alignment horizontal="right" vertical="center"/>
    </xf>
    <xf numFmtId="10" fontId="0" fillId="0" borderId="8" xfId="0" applyNumberFormat="1" applyBorder="1" applyAlignment="1">
      <alignment horizontal="right" vertical="center"/>
    </xf>
    <xf numFmtId="166" fontId="14" fillId="0" borderId="1" xfId="0" applyNumberFormat="1" applyFont="1" applyBorder="1" applyAlignment="1">
      <alignment vertical="center" textRotation="90" wrapText="1"/>
    </xf>
    <xf numFmtId="17" fontId="0" fillId="0" borderId="9" xfId="0" applyNumberFormat="1" applyBorder="1" applyAlignment="1">
      <alignment horizontal="center" vertical="center" wrapText="1"/>
    </xf>
    <xf numFmtId="4" fontId="1" fillId="14" borderId="1" xfId="0" applyNumberFormat="1" applyFont="1" applyFill="1" applyBorder="1" applyAlignment="1">
      <alignment horizontal="center" vertical="center" wrapText="1"/>
    </xf>
    <xf numFmtId="0" fontId="0" fillId="0" borderId="0" xfId="0" applyFill="1" applyBorder="1" applyAlignment="1">
      <alignment vertical="center"/>
    </xf>
    <xf numFmtId="0" fontId="14" fillId="0" borderId="0" xfId="0" applyFont="1" applyFill="1" applyBorder="1" applyAlignment="1">
      <alignment vertical="center" wrapText="1"/>
    </xf>
    <xf numFmtId="10" fontId="14" fillId="0" borderId="0" xfId="0" applyNumberFormat="1" applyFont="1" applyFill="1" applyBorder="1" applyAlignment="1">
      <alignment vertical="center" wrapText="1"/>
    </xf>
    <xf numFmtId="4" fontId="14" fillId="0" borderId="0" xfId="0" applyNumberFormat="1" applyFont="1" applyFill="1" applyBorder="1" applyAlignment="1">
      <alignment vertical="center" wrapText="1"/>
    </xf>
    <xf numFmtId="3" fontId="0" fillId="14" borderId="10" xfId="0" applyNumberFormat="1" applyFill="1" applyBorder="1" applyAlignment="1">
      <alignment horizontal="right" vertical="center"/>
    </xf>
    <xf numFmtId="164" fontId="1" fillId="0" borderId="0" xfId="2" applyNumberFormat="1" applyFont="1"/>
    <xf numFmtId="0" fontId="1" fillId="0" borderId="0" xfId="0" applyFont="1"/>
    <xf numFmtId="3" fontId="0" fillId="14" borderId="1" xfId="0" applyNumberFormat="1" applyFill="1" applyBorder="1" applyAlignment="1">
      <alignment horizontal="right" vertical="center"/>
    </xf>
    <xf numFmtId="4" fontId="0" fillId="0" borderId="1" xfId="0" applyNumberFormat="1" applyBorder="1" applyAlignment="1">
      <alignment horizontal="center" vertical="center"/>
    </xf>
    <xf numFmtId="4" fontId="1" fillId="0" borderId="1" xfId="0" applyNumberFormat="1" applyFont="1" applyBorder="1" applyAlignment="1">
      <alignment horizontal="center" vertical="center" wrapText="1"/>
    </xf>
    <xf numFmtId="0" fontId="0" fillId="0" borderId="0" xfId="0" applyAlignment="1">
      <alignment horizontal="center" vertical="center" wrapText="1"/>
    </xf>
    <xf numFmtId="0" fontId="0" fillId="6" borderId="0" xfId="0" applyFill="1" applyAlignment="1">
      <alignment vertical="center"/>
    </xf>
    <xf numFmtId="165" fontId="0" fillId="0" borderId="0" xfId="0" applyNumberFormat="1" applyAlignment="1">
      <alignment vertical="center"/>
    </xf>
    <xf numFmtId="0" fontId="19" fillId="0" borderId="0" xfId="0" applyFont="1" applyAlignment="1">
      <alignment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1" xfId="0" applyBorder="1" applyAlignment="1">
      <alignment horizontal="center" vertical="center" wrapText="1"/>
    </xf>
    <xf numFmtId="0" fontId="0" fillId="6" borderId="1" xfId="0" applyFill="1" applyBorder="1" applyAlignment="1">
      <alignment horizontal="center" vertical="center" wrapText="1"/>
    </xf>
    <xf numFmtId="165" fontId="1" fillId="0" borderId="0" xfId="0" applyNumberFormat="1" applyFont="1" applyAlignment="1">
      <alignment vertical="center" wrapText="1"/>
    </xf>
    <xf numFmtId="165" fontId="0" fillId="0" borderId="0" xfId="0" applyNumberFormat="1" applyAlignment="1">
      <alignment vertical="center" wrapText="1"/>
    </xf>
    <xf numFmtId="1" fontId="0" fillId="0" borderId="0" xfId="0" applyNumberFormat="1" applyAlignment="1">
      <alignment vertical="center"/>
    </xf>
    <xf numFmtId="1" fontId="0" fillId="0" borderId="0" xfId="0" applyNumberFormat="1" applyBorder="1" applyAlignment="1">
      <alignment vertical="center"/>
    </xf>
    <xf numFmtId="1" fontId="0" fillId="0" borderId="4" xfId="0" applyNumberFormat="1" applyBorder="1" applyAlignment="1">
      <alignment vertical="center"/>
    </xf>
    <xf numFmtId="1" fontId="0" fillId="6" borderId="4" xfId="0" applyNumberFormat="1" applyFill="1" applyBorder="1" applyAlignment="1">
      <alignment vertical="center"/>
    </xf>
    <xf numFmtId="165" fontId="0" fillId="0" borderId="1" xfId="0" applyNumberFormat="1" applyBorder="1" applyAlignment="1">
      <alignment vertical="center"/>
    </xf>
    <xf numFmtId="0" fontId="0" fillId="0" borderId="0" xfId="0" applyBorder="1" applyAlignment="1">
      <alignment vertical="center"/>
    </xf>
    <xf numFmtId="1" fontId="0" fillId="3" borderId="0" xfId="0" applyNumberFormat="1" applyFill="1" applyAlignment="1">
      <alignment vertical="center"/>
    </xf>
    <xf numFmtId="0" fontId="0" fillId="0" borderId="0" xfId="0" applyFill="1" applyAlignment="1">
      <alignment vertical="center"/>
    </xf>
    <xf numFmtId="0" fontId="11" fillId="0" borderId="0" xfId="0" applyNumberFormat="1" applyFont="1" applyBorder="1" applyAlignment="1">
      <alignment horizontal="right" vertical="center"/>
    </xf>
    <xf numFmtId="0" fontId="11" fillId="0" borderId="5" xfId="0" applyNumberFormat="1" applyFont="1" applyBorder="1" applyAlignment="1">
      <alignment horizontal="right" vertical="center"/>
    </xf>
    <xf numFmtId="1" fontId="0" fillId="0" borderId="6" xfId="0" applyNumberFormat="1" applyBorder="1" applyAlignment="1">
      <alignment vertical="center"/>
    </xf>
    <xf numFmtId="1" fontId="0" fillId="6" borderId="6" xfId="0" applyNumberFormat="1" applyFill="1" applyBorder="1" applyAlignment="1">
      <alignment vertical="center"/>
    </xf>
    <xf numFmtId="3" fontId="0" fillId="14" borderId="1" xfId="0" applyNumberFormat="1" applyFill="1" applyBorder="1" applyAlignment="1">
      <alignment vertical="center"/>
    </xf>
    <xf numFmtId="165" fontId="0" fillId="0" borderId="0" xfId="0" applyNumberFormat="1" applyAlignment="1">
      <alignment horizontal="center" vertical="center"/>
    </xf>
    <xf numFmtId="165" fontId="0" fillId="14" borderId="0" xfId="0" applyNumberFormat="1" applyFill="1" applyAlignment="1">
      <alignment horizontal="center" vertical="center"/>
    </xf>
    <xf numFmtId="165" fontId="0" fillId="14" borderId="1" xfId="0" applyNumberFormat="1" applyFill="1" applyBorder="1" applyAlignment="1">
      <alignment horizontal="center" vertical="center" wrapText="1"/>
    </xf>
    <xf numFmtId="164" fontId="0" fillId="14" borderId="0" xfId="0" applyNumberFormat="1" applyFill="1" applyAlignment="1">
      <alignment horizontal="center" vertical="center"/>
    </xf>
    <xf numFmtId="0" fontId="1" fillId="0" borderId="0" xfId="0" applyFont="1" applyAlignment="1">
      <alignment horizontal="center"/>
    </xf>
    <xf numFmtId="0" fontId="1" fillId="0" borderId="0" xfId="2" applyFont="1"/>
    <xf numFmtId="0" fontId="1" fillId="0" borderId="0" xfId="2" applyFont="1" applyAlignment="1">
      <alignment horizontal="left"/>
    </xf>
    <xf numFmtId="3" fontId="1" fillId="0" borderId="0" xfId="2" applyNumberFormat="1" applyFont="1" applyAlignment="1">
      <alignment horizontal="center"/>
    </xf>
    <xf numFmtId="0" fontId="1" fillId="0" borderId="0" xfId="2" applyFont="1" applyAlignment="1">
      <alignment horizontal="center"/>
    </xf>
    <xf numFmtId="0" fontId="1" fillId="0" borderId="0" xfId="2" applyFont="1" applyBorder="1"/>
    <xf numFmtId="4" fontId="0" fillId="0" borderId="12" xfId="0" applyNumberFormat="1" applyBorder="1" applyAlignment="1">
      <alignment horizontal="center" vertical="center"/>
    </xf>
    <xf numFmtId="3" fontId="0" fillId="14" borderId="10" xfId="0" applyNumberFormat="1" applyFill="1" applyBorder="1" applyAlignment="1">
      <alignment vertical="center"/>
    </xf>
    <xf numFmtId="0" fontId="0" fillId="6" borderId="0" xfId="0" applyFill="1" applyBorder="1" applyAlignment="1">
      <alignment vertical="center"/>
    </xf>
    <xf numFmtId="3" fontId="0" fillId="14" borderId="0" xfId="0" applyNumberFormat="1" applyFill="1" applyBorder="1" applyAlignment="1">
      <alignment vertical="center"/>
    </xf>
    <xf numFmtId="4" fontId="0" fillId="0" borderId="0" xfId="0" applyNumberFormat="1" applyBorder="1" applyAlignment="1">
      <alignment horizontal="center" vertical="center"/>
    </xf>
    <xf numFmtId="4" fontId="0" fillId="0" borderId="0" xfId="0" applyNumberFormat="1" applyBorder="1" applyAlignment="1">
      <alignment horizontal="right" vertical="center"/>
    </xf>
    <xf numFmtId="10" fontId="0" fillId="0" borderId="0" xfId="0" applyNumberFormat="1" applyBorder="1" applyAlignment="1">
      <alignment horizontal="right" vertical="center"/>
    </xf>
    <xf numFmtId="164" fontId="0" fillId="14" borderId="0" xfId="0" applyNumberFormat="1" applyFill="1" applyBorder="1" applyAlignment="1">
      <alignment horizontal="center" vertical="center"/>
    </xf>
    <xf numFmtId="164" fontId="0" fillId="14" borderId="0" xfId="0" applyNumberFormat="1" applyFill="1" applyBorder="1" applyAlignment="1">
      <alignment horizontal="center"/>
    </xf>
    <xf numFmtId="0" fontId="4" fillId="0" borderId="0" xfId="0" applyFont="1" applyAlignment="1">
      <alignment vertical="center" wrapText="1"/>
    </xf>
    <xf numFmtId="0" fontId="0" fillId="4" borderId="13" xfId="0" applyFill="1" applyBorder="1" applyAlignment="1">
      <alignment horizontal="center" vertical="center" textRotation="90"/>
    </xf>
    <xf numFmtId="0" fontId="0" fillId="3" borderId="13" xfId="0" applyFill="1" applyBorder="1" applyAlignment="1">
      <alignment horizontal="center" vertical="center" textRotation="90"/>
    </xf>
    <xf numFmtId="0" fontId="0" fillId="5" borderId="13" xfId="0" applyFill="1" applyBorder="1" applyAlignment="1">
      <alignment horizontal="center" vertical="center" textRotation="90"/>
    </xf>
    <xf numFmtId="0" fontId="0" fillId="2" borderId="13" xfId="0" applyFill="1" applyBorder="1" applyAlignment="1">
      <alignment horizontal="center" vertical="center" textRotation="90"/>
    </xf>
    <xf numFmtId="0" fontId="0" fillId="2" borderId="11" xfId="0" applyFill="1" applyBorder="1" applyAlignment="1">
      <alignment horizontal="center" vertical="center" textRotation="90"/>
    </xf>
    <xf numFmtId="0" fontId="0" fillId="2" borderId="9" xfId="0" applyFill="1" applyBorder="1" applyAlignment="1">
      <alignment horizontal="center" vertical="center" textRotation="90"/>
    </xf>
    <xf numFmtId="0" fontId="0" fillId="10" borderId="11" xfId="0" applyFill="1" applyBorder="1" applyAlignment="1">
      <alignment horizontal="center" vertical="center" textRotation="90"/>
    </xf>
    <xf numFmtId="0" fontId="0" fillId="10" borderId="3" xfId="0" applyFill="1" applyBorder="1" applyAlignment="1">
      <alignment horizontal="center" vertical="center" textRotation="90"/>
    </xf>
    <xf numFmtId="0" fontId="0" fillId="4" borderId="1" xfId="0" applyFill="1" applyBorder="1" applyAlignment="1">
      <alignment horizontal="center" vertical="center" textRotation="90"/>
    </xf>
    <xf numFmtId="0" fontId="4" fillId="15" borderId="1" xfId="0" applyFont="1" applyFill="1"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1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0" fillId="13" borderId="10" xfId="0" applyFill="1" applyBorder="1" applyAlignment="1">
      <alignment horizontal="center" vertical="center" textRotation="90"/>
    </xf>
    <xf numFmtId="166" fontId="0" fillId="9" borderId="10" xfId="0" applyNumberFormat="1" applyFill="1" applyBorder="1" applyAlignment="1">
      <alignment horizontal="center" vertical="center" textRotation="90"/>
    </xf>
    <xf numFmtId="10" fontId="0" fillId="24" borderId="8" xfId="0" applyNumberFormat="1" applyFill="1" applyBorder="1" applyAlignment="1">
      <alignment horizontal="center" vertical="center" textRotation="90" wrapText="1"/>
    </xf>
    <xf numFmtId="10" fontId="0" fillId="19" borderId="8" xfId="0" applyNumberFormat="1" applyFill="1" applyBorder="1" applyAlignment="1">
      <alignment horizontal="center" vertical="center" textRotation="90" wrapText="1"/>
    </xf>
    <xf numFmtId="10" fontId="0" fillId="19" borderId="2" xfId="0" applyNumberFormat="1" applyFill="1" applyBorder="1" applyAlignment="1">
      <alignment horizontal="center" vertical="center" textRotation="90" wrapText="1"/>
    </xf>
    <xf numFmtId="0" fontId="0" fillId="0" borderId="9" xfId="0" applyBorder="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13" fillId="3" borderId="12" xfId="0" applyFont="1" applyFill="1" applyBorder="1" applyAlignment="1">
      <alignment vertical="center"/>
    </xf>
    <xf numFmtId="0" fontId="13" fillId="9" borderId="4" xfId="0" applyFont="1" applyFill="1" applyBorder="1" applyAlignment="1">
      <alignment vertical="center"/>
    </xf>
    <xf numFmtId="0" fontId="13" fillId="9" borderId="0" xfId="0" applyFont="1" applyFill="1" applyBorder="1" applyAlignment="1">
      <alignment vertical="center"/>
    </xf>
    <xf numFmtId="0" fontId="13" fillId="9" borderId="5" xfId="0" applyFont="1" applyFill="1" applyBorder="1" applyAlignment="1">
      <alignment vertical="center"/>
    </xf>
    <xf numFmtId="164" fontId="1" fillId="14" borderId="1" xfId="0" applyNumberFormat="1" applyFont="1" applyFill="1" applyBorder="1" applyAlignment="1">
      <alignment horizontal="center" vertical="center" wrapText="1"/>
    </xf>
    <xf numFmtId="164" fontId="0" fillId="14" borderId="1" xfId="0" applyNumberFormat="1" applyFill="1" applyBorder="1" applyAlignment="1">
      <alignment horizontal="center" vertical="center"/>
    </xf>
    <xf numFmtId="165" fontId="0" fillId="14"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xf>
    <xf numFmtId="164" fontId="1" fillId="28" borderId="1" xfId="0" applyNumberFormat="1" applyFont="1" applyFill="1" applyBorder="1" applyAlignment="1">
      <alignment horizontal="center" vertical="center" wrapText="1"/>
    </xf>
    <xf numFmtId="165" fontId="0" fillId="28" borderId="1" xfId="0" applyNumberFormat="1" applyFill="1" applyBorder="1" applyAlignment="1">
      <alignment horizontal="center" vertical="center"/>
    </xf>
    <xf numFmtId="165" fontId="1" fillId="14" borderId="1" xfId="0" applyNumberFormat="1" applyFont="1" applyFill="1" applyBorder="1" applyAlignment="1">
      <alignment horizontal="center" vertical="center" wrapText="1"/>
    </xf>
    <xf numFmtId="4" fontId="0" fillId="14" borderId="1" xfId="0" applyNumberFormat="1" applyFill="1" applyBorder="1" applyAlignment="1">
      <alignment horizontal="center" vertical="center"/>
    </xf>
    <xf numFmtId="164" fontId="1" fillId="29" borderId="1" xfId="0" applyNumberFormat="1" applyFont="1" applyFill="1" applyBorder="1" applyAlignment="1">
      <alignment horizontal="center" vertical="center" wrapText="1"/>
    </xf>
    <xf numFmtId="165" fontId="1" fillId="29" borderId="1" xfId="0" applyNumberFormat="1" applyFont="1" applyFill="1" applyBorder="1" applyAlignment="1">
      <alignment horizontal="center" vertical="center" wrapText="1"/>
    </xf>
    <xf numFmtId="164" fontId="0" fillId="29" borderId="1" xfId="0" applyNumberFormat="1" applyFill="1" applyBorder="1" applyAlignment="1">
      <alignment horizontal="center" vertical="center"/>
    </xf>
    <xf numFmtId="165" fontId="0" fillId="29" borderId="1" xfId="0" applyNumberFormat="1" applyFill="1" applyBorder="1" applyAlignment="1">
      <alignment horizontal="center" vertical="center"/>
    </xf>
    <xf numFmtId="4" fontId="0" fillId="29" borderId="1" xfId="0" applyNumberFormat="1" applyFill="1" applyBorder="1" applyAlignment="1">
      <alignment horizontal="center" vertical="center"/>
    </xf>
    <xf numFmtId="164" fontId="0" fillId="28" borderId="1" xfId="0" applyNumberFormat="1" applyFill="1" applyBorder="1" applyAlignment="1">
      <alignment horizontal="center" vertical="center"/>
    </xf>
    <xf numFmtId="164" fontId="1" fillId="30" borderId="1" xfId="0" applyNumberFormat="1" applyFont="1" applyFill="1" applyBorder="1" applyAlignment="1">
      <alignment horizontal="center" vertical="center" wrapText="1"/>
    </xf>
    <xf numFmtId="165" fontId="0" fillId="30" borderId="1" xfId="0" applyNumberFormat="1" applyFill="1" applyBorder="1" applyAlignment="1">
      <alignment horizontal="center" vertical="center"/>
    </xf>
    <xf numFmtId="164" fontId="0" fillId="30" borderId="1" xfId="0" applyNumberFormat="1" applyFill="1" applyBorder="1" applyAlignment="1">
      <alignment horizontal="center" vertical="center"/>
    </xf>
    <xf numFmtId="0" fontId="20" fillId="0" borderId="0" xfId="0" applyFont="1" applyAlignment="1">
      <alignment vertical="center"/>
    </xf>
    <xf numFmtId="0" fontId="6" fillId="0" borderId="0" xfId="0" applyFont="1" applyAlignment="1">
      <alignment vertical="center"/>
    </xf>
    <xf numFmtId="0" fontId="8" fillId="0" borderId="0" xfId="0" applyFont="1" applyAlignment="1">
      <alignment horizontal="left" vertical="center" wrapText="1"/>
    </xf>
    <xf numFmtId="0" fontId="6" fillId="0" borderId="0" xfId="0" applyFont="1" applyAlignment="1">
      <alignment horizontal="right" vertical="center"/>
    </xf>
    <xf numFmtId="0" fontId="9" fillId="0" borderId="0" xfId="3" applyFill="1" applyAlignment="1">
      <alignment vertical="center"/>
    </xf>
    <xf numFmtId="167" fontId="9" fillId="0" borderId="0" xfId="1" applyNumberFormat="1" applyFont="1" applyFill="1" applyAlignment="1">
      <alignment vertical="center"/>
    </xf>
    <xf numFmtId="164" fontId="0" fillId="0" borderId="0" xfId="1" applyNumberFormat="1" applyFont="1" applyFill="1" applyAlignment="1">
      <alignment vertical="center"/>
    </xf>
    <xf numFmtId="167" fontId="9" fillId="0" borderId="0" xfId="1" applyNumberFormat="1" applyFont="1" applyAlignment="1">
      <alignment vertical="center" wrapText="1"/>
    </xf>
    <xf numFmtId="167" fontId="9" fillId="0" borderId="0" xfId="1" applyNumberFormat="1" applyFont="1" applyAlignment="1">
      <alignment vertical="center"/>
    </xf>
    <xf numFmtId="0" fontId="8" fillId="0" borderId="0" xfId="0" applyFont="1" applyAlignment="1">
      <alignment vertical="center"/>
    </xf>
    <xf numFmtId="167" fontId="0" fillId="0" borderId="0" xfId="1" applyNumberFormat="1" applyFont="1" applyAlignment="1">
      <alignment vertical="center"/>
    </xf>
    <xf numFmtId="0" fontId="8" fillId="0" borderId="0" xfId="0" applyFont="1" applyAlignment="1">
      <alignment vertical="center" wrapText="1"/>
    </xf>
    <xf numFmtId="0" fontId="8" fillId="0" borderId="0" xfId="0" applyFont="1" applyAlignment="1">
      <alignment horizontal="right" vertical="center"/>
    </xf>
    <xf numFmtId="167" fontId="10" fillId="0" borderId="0" xfId="1" applyNumberFormat="1" applyFont="1" applyAlignment="1">
      <alignment vertical="center"/>
    </xf>
    <xf numFmtId="164" fontId="0" fillId="0" borderId="0" xfId="0" applyNumberFormat="1" applyFill="1" applyAlignment="1">
      <alignment vertical="center"/>
    </xf>
    <xf numFmtId="164" fontId="0" fillId="0" borderId="0" xfId="0" applyNumberFormat="1" applyAlignment="1">
      <alignment vertical="center"/>
    </xf>
    <xf numFmtId="3" fontId="0" fillId="0" borderId="0" xfId="0" applyNumberFormat="1" applyAlignment="1">
      <alignment vertical="center"/>
    </xf>
    <xf numFmtId="3" fontId="0" fillId="0" borderId="0" xfId="0" applyNumberFormat="1" applyFill="1" applyAlignment="1">
      <alignment vertical="center"/>
    </xf>
    <xf numFmtId="2" fontId="0" fillId="0" borderId="0" xfId="0" applyNumberFormat="1" applyAlignment="1">
      <alignment vertical="center"/>
    </xf>
    <xf numFmtId="0" fontId="21" fillId="0" borderId="0" xfId="0" applyFont="1" applyAlignment="1">
      <alignment horizontal="left"/>
    </xf>
    <xf numFmtId="0" fontId="22" fillId="0" borderId="0" xfId="0" applyFont="1"/>
    <xf numFmtId="0" fontId="21" fillId="0" borderId="0" xfId="0" applyFont="1"/>
    <xf numFmtId="14" fontId="22" fillId="0" borderId="0" xfId="0" applyNumberFormat="1" applyFont="1" applyAlignment="1">
      <alignment vertical="top" wrapText="1"/>
    </xf>
    <xf numFmtId="14" fontId="21" fillId="0" borderId="0" xfId="0" applyNumberFormat="1" applyFont="1"/>
    <xf numFmtId="0" fontId="21" fillId="0" borderId="0" xfId="0" applyFont="1" applyAlignment="1">
      <alignment horizontal="center"/>
    </xf>
    <xf numFmtId="0" fontId="22" fillId="0" borderId="0" xfId="0" applyFont="1" applyAlignment="1">
      <alignment horizontal="center"/>
    </xf>
    <xf numFmtId="165" fontId="22" fillId="0" borderId="0" xfId="0" applyNumberFormat="1" applyFont="1"/>
    <xf numFmtId="165" fontId="21" fillId="0" borderId="0" xfId="0" applyNumberFormat="1" applyFont="1"/>
    <xf numFmtId="1" fontId="22" fillId="0" borderId="0" xfId="0" applyNumberFormat="1" applyFont="1"/>
    <xf numFmtId="165" fontId="22" fillId="0" borderId="0" xfId="0" applyNumberFormat="1" applyFont="1" applyAlignment="1">
      <alignment horizontal="center"/>
    </xf>
    <xf numFmtId="0" fontId="22" fillId="0" borderId="0" xfId="0" applyFont="1" applyAlignment="1">
      <alignment vertical="top" wrapText="1"/>
    </xf>
    <xf numFmtId="0" fontId="21" fillId="0" borderId="0" xfId="0" applyFont="1" applyAlignment="1">
      <alignment vertical="top" wrapText="1"/>
    </xf>
    <xf numFmtId="165" fontId="22" fillId="0" borderId="0" xfId="0" applyNumberFormat="1" applyFont="1" applyAlignment="1">
      <alignment horizontal="center" vertical="top" wrapText="1"/>
    </xf>
    <xf numFmtId="14" fontId="22" fillId="0" borderId="0" xfId="0" applyNumberFormat="1" applyFont="1"/>
    <xf numFmtId="0" fontId="21" fillId="0" borderId="0" xfId="0" applyFont="1" applyAlignment="1">
      <alignment vertical="top"/>
    </xf>
    <xf numFmtId="14" fontId="22" fillId="0" borderId="0" xfId="0" applyNumberFormat="1" applyFont="1" applyAlignment="1">
      <alignment horizontal="center" vertical="top" wrapText="1"/>
    </xf>
    <xf numFmtId="0" fontId="22" fillId="0" borderId="0" xfId="0" applyFont="1" applyAlignment="1">
      <alignment horizontal="center"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lignment horizontal="left"/>
    </xf>
    <xf numFmtId="0" fontId="22" fillId="0" borderId="0" xfId="0" applyFont="1" applyAlignment="1">
      <alignment horizontal="left" indent="4"/>
    </xf>
    <xf numFmtId="14" fontId="22" fillId="0" borderId="0" xfId="0" applyNumberFormat="1" applyFont="1" applyAlignment="1">
      <alignment horizontal="left" indent="4"/>
    </xf>
    <xf numFmtId="164" fontId="22" fillId="0" borderId="0" xfId="0" applyNumberFormat="1" applyFont="1"/>
    <xf numFmtId="0" fontId="23" fillId="0" borderId="0" xfId="0" applyFont="1" applyAlignment="1">
      <alignment horizontal="left" indent="7"/>
    </xf>
    <xf numFmtId="0" fontId="22" fillId="0" borderId="0" xfId="0" applyFont="1" applyAlignment="1">
      <alignment horizontal="left" indent="7"/>
    </xf>
    <xf numFmtId="0" fontId="22" fillId="0" borderId="0" xfId="0" applyFont="1" applyAlignment="1">
      <alignment horizontal="right" vertical="top" wrapText="1"/>
    </xf>
    <xf numFmtId="164" fontId="22" fillId="0" borderId="0" xfId="0" applyNumberFormat="1" applyFont="1" applyAlignment="1">
      <alignment horizontal="center" wrapText="1"/>
    </xf>
    <xf numFmtId="0" fontId="21" fillId="0" borderId="0" xfId="0" applyFont="1" applyAlignment="1">
      <alignment horizontal="right" vertical="top" wrapText="1"/>
    </xf>
    <xf numFmtId="0" fontId="22" fillId="0" borderId="0" xfId="0" applyFont="1" applyAlignment="1">
      <alignment horizontal="center" wrapText="1"/>
    </xf>
    <xf numFmtId="0" fontId="1" fillId="26" borderId="4" xfId="0" applyFont="1" applyFill="1" applyBorder="1" applyAlignment="1">
      <alignment horizontal="center" vertical="center" textRotation="90" wrapText="1"/>
    </xf>
    <xf numFmtId="0" fontId="0" fillId="13" borderId="12" xfId="0" applyFill="1" applyBorder="1" applyAlignment="1">
      <alignment horizontal="center" vertical="center" textRotation="90"/>
    </xf>
    <xf numFmtId="0" fontId="22" fillId="0" borderId="0" xfId="0" applyFont="1" applyAlignment="1">
      <alignment vertical="center"/>
    </xf>
    <xf numFmtId="0" fontId="4" fillId="0" borderId="10" xfId="0" applyFont="1" applyBorder="1" applyAlignment="1">
      <alignment horizontal="center" vertical="center" wrapText="1"/>
    </xf>
    <xf numFmtId="164" fontId="1" fillId="30" borderId="10" xfId="0" applyNumberFormat="1"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25" fillId="0" borderId="3" xfId="0" applyFont="1" applyBorder="1" applyAlignment="1">
      <alignment vertical="top" indent="4"/>
    </xf>
    <xf numFmtId="0" fontId="0" fillId="0" borderId="4" xfId="0" applyBorder="1"/>
    <xf numFmtId="2" fontId="0" fillId="0" borderId="1" xfId="0" applyNumberFormat="1" applyBorder="1"/>
    <xf numFmtId="164"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left"/>
    </xf>
    <xf numFmtId="0" fontId="4" fillId="0" borderId="0" xfId="4" applyFont="1"/>
    <xf numFmtId="0" fontId="1" fillId="0" borderId="0" xfId="4" applyFont="1"/>
    <xf numFmtId="0" fontId="4" fillId="0" borderId="0" xfId="4" applyFont="1" applyAlignment="1">
      <alignment horizontal="center"/>
    </xf>
    <xf numFmtId="0" fontId="1" fillId="0" borderId="0" xfId="4" applyFont="1" applyAlignment="1">
      <alignment horizontal="center"/>
    </xf>
    <xf numFmtId="6" fontId="1" fillId="0" borderId="0" xfId="4" applyNumberFormat="1" applyFont="1" applyAlignment="1">
      <alignment horizontal="center"/>
    </xf>
    <xf numFmtId="0" fontId="1" fillId="0" borderId="0" xfId="4" applyFont="1" applyFill="1" applyAlignment="1">
      <alignment horizontal="center"/>
    </xf>
    <xf numFmtId="0" fontId="1" fillId="0" borderId="0" xfId="4" applyFont="1" applyFill="1"/>
    <xf numFmtId="6" fontId="1" fillId="0" borderId="0" xfId="4" applyNumberFormat="1" applyFont="1" applyFill="1" applyAlignment="1">
      <alignment horizontal="center"/>
    </xf>
    <xf numFmtId="0" fontId="1" fillId="0" borderId="5" xfId="4" applyFont="1" applyBorder="1" applyAlignment="1">
      <alignment horizontal="center"/>
    </xf>
    <xf numFmtId="6" fontId="1" fillId="0" borderId="0" xfId="4" applyNumberFormat="1" applyFont="1"/>
    <xf numFmtId="0" fontId="1" fillId="0" borderId="0" xfId="4" applyFont="1" applyFill="1" applyBorder="1" applyAlignment="1">
      <alignment horizontal="center" vertical="center" textRotation="90" wrapText="1"/>
    </xf>
    <xf numFmtId="0" fontId="1" fillId="0" borderId="0" xfId="4" applyFont="1" applyFill="1" applyBorder="1"/>
    <xf numFmtId="164" fontId="1" fillId="0" borderId="0" xfId="4" applyNumberFormat="1" applyFont="1"/>
    <xf numFmtId="3" fontId="1" fillId="0" borderId="0" xfId="4" applyNumberFormat="1" applyFont="1"/>
    <xf numFmtId="0" fontId="1" fillId="0" borderId="0" xfId="4" applyFont="1" applyBorder="1"/>
    <xf numFmtId="0" fontId="1" fillId="0" borderId="0" xfId="4"/>
    <xf numFmtId="0" fontId="4" fillId="0" borderId="0" xfId="4" applyFont="1" applyAlignment="1"/>
    <xf numFmtId="0" fontId="1" fillId="0" borderId="0" xfId="4" applyAlignment="1"/>
    <xf numFmtId="0" fontId="6" fillId="0" borderId="0" xfId="4" applyFont="1" applyAlignment="1">
      <alignment horizontal="left"/>
    </xf>
    <xf numFmtId="0" fontId="7" fillId="0" borderId="0" xfId="4" applyFont="1" applyAlignment="1">
      <alignment horizontal="left"/>
    </xf>
    <xf numFmtId="0" fontId="9" fillId="0" borderId="0" xfId="4" applyFont="1" applyAlignment="1">
      <alignment horizontal="center"/>
    </xf>
    <xf numFmtId="164" fontId="1" fillId="0" borderId="0" xfId="4" applyNumberFormat="1"/>
    <xf numFmtId="0" fontId="9" fillId="0" borderId="0" xfId="4" applyFont="1" applyFill="1" applyAlignment="1">
      <alignment horizontal="center"/>
    </xf>
    <xf numFmtId="164" fontId="1" fillId="0" borderId="0" xfId="4" applyNumberFormat="1" applyFill="1"/>
    <xf numFmtId="0" fontId="1" fillId="0" borderId="0" xfId="4" applyFill="1"/>
    <xf numFmtId="0" fontId="9" fillId="0" borderId="5" xfId="4" applyFont="1" applyBorder="1" applyAlignment="1">
      <alignment horizontal="center"/>
    </xf>
    <xf numFmtId="0" fontId="10" fillId="0" borderId="0" xfId="4" applyFont="1" applyAlignment="1">
      <alignment horizontal="center"/>
    </xf>
    <xf numFmtId="0" fontId="9" fillId="0" borderId="0" xfId="4" applyFont="1" applyBorder="1"/>
    <xf numFmtId="0" fontId="1" fillId="0" borderId="0" xfId="4" applyBorder="1"/>
    <xf numFmtId="165" fontId="0" fillId="30" borderId="10" xfId="0" applyNumberFormat="1" applyFill="1" applyBorder="1" applyAlignment="1">
      <alignment horizontal="center" vertical="center"/>
    </xf>
    <xf numFmtId="165" fontId="0" fillId="30" borderId="2" xfId="0" applyNumberFormat="1" applyFill="1" applyBorder="1" applyAlignment="1">
      <alignment horizontal="center" vertical="center"/>
    </xf>
    <xf numFmtId="165" fontId="0" fillId="30" borderId="8" xfId="0" applyNumberFormat="1" applyFill="1" applyBorder="1" applyAlignment="1">
      <alignment horizontal="center" vertical="center"/>
    </xf>
    <xf numFmtId="165" fontId="0" fillId="30" borderId="3" xfId="0" applyNumberFormat="1" applyFill="1" applyBorder="1" applyAlignment="1">
      <alignment horizontal="center" vertical="center"/>
    </xf>
    <xf numFmtId="164" fontId="0" fillId="30" borderId="10" xfId="0" applyNumberFormat="1" applyFill="1" applyBorder="1" applyAlignment="1">
      <alignment horizontal="center" vertical="center"/>
    </xf>
    <xf numFmtId="164" fontId="0" fillId="30" borderId="2" xfId="0" applyNumberFormat="1" applyFill="1" applyBorder="1" applyAlignment="1">
      <alignment horizontal="center" vertical="center"/>
    </xf>
    <xf numFmtId="164" fontId="0" fillId="30" borderId="8" xfId="0" applyNumberFormat="1" applyFill="1" applyBorder="1" applyAlignment="1">
      <alignment horizontal="center" vertical="center"/>
    </xf>
    <xf numFmtId="164" fontId="0" fillId="30" borderId="3" xfId="0" applyNumberFormat="1" applyFill="1" applyBorder="1" applyAlignment="1">
      <alignment horizontal="center" vertical="center"/>
    </xf>
    <xf numFmtId="166" fontId="0" fillId="9" borderId="0" xfId="0" applyNumberFormat="1" applyFill="1" applyBorder="1" applyAlignment="1">
      <alignment horizontal="center" vertical="center" textRotation="90"/>
    </xf>
    <xf numFmtId="10" fontId="0" fillId="24" borderId="0" xfId="0" applyNumberFormat="1" applyFill="1" applyBorder="1" applyAlignment="1">
      <alignment horizontal="center" vertical="center" textRotation="90" wrapText="1"/>
    </xf>
    <xf numFmtId="0" fontId="1" fillId="20" borderId="11" xfId="0" applyFont="1" applyFill="1" applyBorder="1" applyAlignment="1">
      <alignment horizontal="center" vertical="center" textRotation="90"/>
    </xf>
    <xf numFmtId="0" fontId="1" fillId="20" borderId="3" xfId="0" applyFont="1" applyFill="1" applyBorder="1" applyAlignment="1">
      <alignment horizontal="center" vertical="center" textRotation="90"/>
    </xf>
    <xf numFmtId="0" fontId="1" fillId="22" borderId="10" xfId="0" applyFont="1" applyFill="1" applyBorder="1" applyAlignment="1">
      <alignment horizontal="center" vertical="center" textRotation="90"/>
    </xf>
    <xf numFmtId="0" fontId="0" fillId="22" borderId="8" xfId="0" applyFill="1" applyBorder="1" applyAlignment="1">
      <alignment horizontal="center" vertical="center" textRotation="90"/>
    </xf>
    <xf numFmtId="0" fontId="0" fillId="22" borderId="2" xfId="0" applyFill="1" applyBorder="1" applyAlignment="1">
      <alignment horizontal="center" vertical="center" textRotation="90"/>
    </xf>
    <xf numFmtId="166" fontId="0" fillId="12" borderId="10" xfId="0" applyNumberFormat="1" applyFill="1" applyBorder="1" applyAlignment="1">
      <alignment horizontal="center" vertical="center" textRotation="90" wrapText="1"/>
    </xf>
    <xf numFmtId="166" fontId="0" fillId="12" borderId="8" xfId="0" applyNumberFormat="1" applyFill="1" applyBorder="1" applyAlignment="1">
      <alignment horizontal="center" vertical="center" textRotation="90" wrapText="1"/>
    </xf>
    <xf numFmtId="10" fontId="0" fillId="16" borderId="10" xfId="0" applyNumberFormat="1" applyFill="1" applyBorder="1" applyAlignment="1">
      <alignment horizontal="center" vertical="center" textRotation="90" wrapText="1"/>
    </xf>
    <xf numFmtId="10" fontId="0" fillId="16" borderId="8" xfId="0" applyNumberFormat="1" applyFill="1" applyBorder="1" applyAlignment="1">
      <alignment horizontal="center" vertical="center" textRotation="90" wrapText="1"/>
    </xf>
    <xf numFmtId="10" fontId="0" fillId="16" borderId="2" xfId="0" applyNumberFormat="1" applyFill="1" applyBorder="1" applyAlignment="1">
      <alignment horizontal="center" vertical="center" textRotation="90" wrapText="1"/>
    </xf>
    <xf numFmtId="166" fontId="0" fillId="25" borderId="10" xfId="0" applyNumberFormat="1" applyFill="1" applyBorder="1" applyAlignment="1">
      <alignment horizontal="center" vertical="center" textRotation="90"/>
    </xf>
    <xf numFmtId="166" fontId="0" fillId="25" borderId="8" xfId="0" applyNumberFormat="1" applyFill="1" applyBorder="1" applyAlignment="1">
      <alignment horizontal="center" vertical="center" textRotation="90"/>
    </xf>
    <xf numFmtId="166" fontId="0" fillId="25" borderId="2" xfId="0" applyNumberFormat="1" applyFill="1" applyBorder="1" applyAlignment="1">
      <alignment horizontal="center" vertical="center" textRotation="90"/>
    </xf>
    <xf numFmtId="166" fontId="0" fillId="18" borderId="10" xfId="0" applyNumberFormat="1" applyFill="1" applyBorder="1" applyAlignment="1">
      <alignment horizontal="center" vertical="center" textRotation="90" wrapText="1"/>
    </xf>
    <xf numFmtId="166" fontId="0" fillId="18" borderId="8" xfId="0" applyNumberFormat="1" applyFill="1" applyBorder="1" applyAlignment="1">
      <alignment horizontal="center" vertical="center" textRotation="90" wrapText="1"/>
    </xf>
    <xf numFmtId="166" fontId="0" fillId="18" borderId="2" xfId="0" applyNumberFormat="1" applyFill="1" applyBorder="1" applyAlignment="1">
      <alignment horizontal="center" vertical="center" textRotation="90" wrapText="1"/>
    </xf>
    <xf numFmtId="166" fontId="0" fillId="11" borderId="10" xfId="0" applyNumberFormat="1" applyFill="1" applyBorder="1" applyAlignment="1">
      <alignment horizontal="center" vertical="center" textRotation="90" wrapText="1"/>
    </xf>
    <xf numFmtId="166" fontId="0" fillId="11" borderId="8" xfId="0" applyNumberFormat="1" applyFill="1" applyBorder="1" applyAlignment="1">
      <alignment horizontal="center" vertical="center" textRotation="90" wrapText="1"/>
    </xf>
    <xf numFmtId="166" fontId="0" fillId="11" borderId="2" xfId="0" applyNumberFormat="1" applyFill="1" applyBorder="1" applyAlignment="1">
      <alignment horizontal="center" vertical="center" textRotation="90" wrapText="1"/>
    </xf>
    <xf numFmtId="10" fontId="1" fillId="17" borderId="1" xfId="0" applyNumberFormat="1" applyFont="1" applyFill="1" applyBorder="1" applyAlignment="1">
      <alignment horizontal="center" vertical="center" textRotation="90" wrapText="1"/>
    </xf>
    <xf numFmtId="10" fontId="0" fillId="23" borderId="10" xfId="0" applyNumberFormat="1" applyFill="1" applyBorder="1" applyAlignment="1">
      <alignment horizontal="center" vertical="center" textRotation="90"/>
    </xf>
    <xf numFmtId="0" fontId="0" fillId="23" borderId="8" xfId="0" applyFill="1" applyBorder="1" applyAlignment="1">
      <alignment horizontal="center" vertical="center" textRotation="90"/>
    </xf>
    <xf numFmtId="0" fontId="0" fillId="23" borderId="2" xfId="0" applyFill="1" applyBorder="1" applyAlignment="1">
      <alignment horizontal="center" vertical="center" textRotation="90"/>
    </xf>
    <xf numFmtId="9" fontId="1" fillId="17" borderId="10" xfId="0" applyNumberFormat="1" applyFont="1" applyFill="1" applyBorder="1" applyAlignment="1">
      <alignment horizontal="center" vertical="center" textRotation="90"/>
    </xf>
    <xf numFmtId="0" fontId="1" fillId="17" borderId="2" xfId="0" applyFont="1" applyFill="1" applyBorder="1" applyAlignment="1">
      <alignment horizontal="center" vertical="center" textRotation="90"/>
    </xf>
    <xf numFmtId="0" fontId="0" fillId="2" borderId="1" xfId="0" applyFill="1" applyBorder="1" applyAlignment="1">
      <alignment horizontal="center" vertical="center" textRotation="90"/>
    </xf>
    <xf numFmtId="0" fontId="0" fillId="2" borderId="10" xfId="0" applyFill="1" applyBorder="1" applyAlignment="1">
      <alignment horizontal="center" vertical="center" textRotation="90"/>
    </xf>
    <xf numFmtId="0" fontId="0" fillId="10" borderId="10" xfId="0" applyFill="1" applyBorder="1" applyAlignment="1">
      <alignment horizontal="center" vertical="center" textRotation="90"/>
    </xf>
    <xf numFmtId="0" fontId="0" fillId="10" borderId="8" xfId="0" applyFill="1" applyBorder="1" applyAlignment="1">
      <alignment horizontal="center" vertical="center" textRotation="90"/>
    </xf>
    <xf numFmtId="0" fontId="0" fillId="0" borderId="8" xfId="0" applyBorder="1" applyAlignment="1">
      <alignment horizontal="center" vertical="center"/>
    </xf>
    <xf numFmtId="0" fontId="0" fillId="0" borderId="2" xfId="0" applyBorder="1" applyAlignment="1">
      <alignment horizontal="center" vertical="center"/>
    </xf>
    <xf numFmtId="0" fontId="0" fillId="5" borderId="1" xfId="0" applyFill="1" applyBorder="1" applyAlignment="1">
      <alignment horizontal="center" vertical="center" textRotation="90"/>
    </xf>
    <xf numFmtId="0" fontId="1" fillId="21" borderId="7" xfId="0" applyFont="1" applyFill="1" applyBorder="1" applyAlignment="1">
      <alignment horizontal="center" vertical="center"/>
    </xf>
    <xf numFmtId="0" fontId="0" fillId="21" borderId="7" xfId="0" applyFill="1" applyBorder="1" applyAlignment="1">
      <alignment horizontal="center" vertical="center"/>
    </xf>
    <xf numFmtId="0" fontId="0" fillId="3" borderId="1" xfId="0" applyFill="1" applyBorder="1" applyAlignment="1">
      <alignment horizontal="center" vertical="center" textRotation="90"/>
    </xf>
    <xf numFmtId="166" fontId="0" fillId="18" borderId="10" xfId="0" applyNumberFormat="1" applyFill="1" applyBorder="1" applyAlignment="1">
      <alignment horizontal="center" vertical="center" textRotation="90"/>
    </xf>
    <xf numFmtId="166" fontId="0" fillId="18" borderId="8" xfId="0" applyNumberFormat="1" applyFill="1" applyBorder="1" applyAlignment="1">
      <alignment horizontal="center" vertical="center" textRotation="90"/>
    </xf>
    <xf numFmtId="166" fontId="0" fillId="18" borderId="4" xfId="0" applyNumberFormat="1" applyFill="1" applyBorder="1" applyAlignment="1">
      <alignment horizontal="center" vertical="center" textRotation="90"/>
    </xf>
    <xf numFmtId="0" fontId="0" fillId="16" borderId="8" xfId="0" applyFill="1" applyBorder="1" applyAlignment="1">
      <alignment horizontal="center" vertical="center" textRotation="90" wrapText="1"/>
    </xf>
    <xf numFmtId="0" fontId="0" fillId="16" borderId="2" xfId="0" applyFill="1" applyBorder="1" applyAlignment="1">
      <alignment horizontal="center" vertical="center" textRotation="90"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 fillId="27" borderId="8" xfId="0" applyFont="1" applyFill="1" applyBorder="1" applyAlignment="1">
      <alignment horizontal="center" vertical="center" textRotation="90"/>
    </xf>
    <xf numFmtId="0" fontId="1" fillId="27" borderId="2" xfId="0" applyFont="1" applyFill="1" applyBorder="1" applyAlignment="1">
      <alignment horizontal="center" vertical="center" textRotation="90"/>
    </xf>
    <xf numFmtId="0" fontId="1" fillId="27" borderId="11" xfId="0" applyFont="1" applyFill="1" applyBorder="1" applyAlignment="1">
      <alignment horizontal="center" vertical="center" textRotation="90"/>
    </xf>
    <xf numFmtId="0" fontId="1" fillId="27" borderId="3" xfId="0" applyFont="1" applyFill="1" applyBorder="1" applyAlignment="1">
      <alignment horizontal="center" vertical="center" textRotation="90"/>
    </xf>
    <xf numFmtId="0" fontId="4" fillId="0" borderId="0" xfId="0" applyFont="1" applyBorder="1" applyAlignment="1">
      <alignment vertical="center" wrapText="1"/>
    </xf>
    <xf numFmtId="0" fontId="0" fillId="0" borderId="0" xfId="0" applyBorder="1" applyAlignment="1">
      <alignment vertical="center" wrapText="1"/>
    </xf>
    <xf numFmtId="0" fontId="4" fillId="15" borderId="12" xfId="0" applyFont="1" applyFill="1" applyBorder="1" applyAlignment="1">
      <alignment horizontal="center" vertical="center" wrapText="1"/>
    </xf>
    <xf numFmtId="0" fontId="0" fillId="15" borderId="4" xfId="0" applyFill="1" applyBorder="1" applyAlignment="1">
      <alignment horizontal="center" vertical="center" wrapText="1"/>
    </xf>
    <xf numFmtId="0" fontId="0" fillId="15" borderId="5" xfId="0" applyFill="1" applyBorder="1" applyAlignment="1">
      <alignment horizontal="center" vertical="center" wrapText="1"/>
    </xf>
    <xf numFmtId="0" fontId="4" fillId="15" borderId="10" xfId="0" applyFont="1" applyFill="1" applyBorder="1" applyAlignment="1">
      <alignment horizontal="center" vertical="center" wrapText="1"/>
    </xf>
    <xf numFmtId="0" fontId="0" fillId="15" borderId="8" xfId="0" applyFill="1" applyBorder="1" applyAlignment="1">
      <alignment horizontal="center" vertical="center" wrapText="1"/>
    </xf>
    <xf numFmtId="0" fontId="0" fillId="15" borderId="2" xfId="0"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0" fillId="15" borderId="6" xfId="0"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4" fillId="0" borderId="0" xfId="0" applyFont="1" applyFill="1" applyBorder="1" applyAlignment="1">
      <alignment horizontal="center" vertical="center" wrapText="1"/>
    </xf>
    <xf numFmtId="0" fontId="1" fillId="21" borderId="1" xfId="0" applyFont="1" applyFill="1" applyBorder="1" applyAlignment="1">
      <alignment horizontal="center" vertical="center"/>
    </xf>
    <xf numFmtId="0" fontId="0" fillId="21" borderId="1" xfId="0" applyFill="1" applyBorder="1" applyAlignment="1">
      <alignment horizontal="center" vertical="center"/>
    </xf>
    <xf numFmtId="0" fontId="14" fillId="5" borderId="13"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0" fillId="4" borderId="1" xfId="0" applyFill="1" applyBorder="1" applyAlignment="1">
      <alignment horizontal="center" vertical="center" textRotation="90"/>
    </xf>
    <xf numFmtId="0" fontId="4" fillId="15" borderId="4"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2" xfId="0" applyFont="1" applyBorder="1" applyAlignment="1">
      <alignment horizontal="center" vertical="center" wrapText="1"/>
    </xf>
    <xf numFmtId="0" fontId="14" fillId="5"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0" fillId="7" borderId="1" xfId="0"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 fillId="22" borderId="1" xfId="0" applyFont="1" applyFill="1" applyBorder="1" applyAlignment="1">
      <alignment horizontal="center" vertical="center"/>
    </xf>
    <xf numFmtId="0" fontId="0" fillId="22" borderId="1" xfId="0" applyFill="1" applyBorder="1" applyAlignment="1">
      <alignment horizontal="center" vertical="center"/>
    </xf>
    <xf numFmtId="0" fontId="1" fillId="20" borderId="1" xfId="0" applyFont="1" applyFill="1" applyBorder="1" applyAlignment="1">
      <alignment horizontal="center" vertical="center"/>
    </xf>
    <xf numFmtId="0" fontId="0" fillId="20" borderId="1" xfId="0" applyFill="1" applyBorder="1" applyAlignment="1">
      <alignment horizontal="center" vertical="center"/>
    </xf>
    <xf numFmtId="0" fontId="1" fillId="17" borderId="1" xfId="0" applyFont="1" applyFill="1" applyBorder="1" applyAlignment="1">
      <alignment horizontal="center" vertical="center"/>
    </xf>
    <xf numFmtId="0" fontId="0" fillId="17" borderId="1" xfId="0" applyFill="1" applyBorder="1" applyAlignment="1">
      <alignment horizontal="center" vertical="center"/>
    </xf>
    <xf numFmtId="10" fontId="0" fillId="23" borderId="8" xfId="0" applyNumberFormat="1" applyFill="1" applyBorder="1" applyAlignment="1">
      <alignment horizontal="center" vertical="center" textRotation="90"/>
    </xf>
    <xf numFmtId="10" fontId="0" fillId="23" borderId="2" xfId="0" applyNumberFormat="1" applyFill="1" applyBorder="1" applyAlignment="1">
      <alignment horizontal="center" vertical="center" textRotation="90"/>
    </xf>
    <xf numFmtId="166" fontId="0" fillId="12" borderId="1" xfId="0" applyNumberFormat="1" applyFill="1" applyBorder="1" applyAlignment="1">
      <alignment horizontal="center" vertical="center" textRotation="90" wrapText="1"/>
    </xf>
    <xf numFmtId="166" fontId="0" fillId="18" borderId="1" xfId="0" applyNumberFormat="1" applyFill="1" applyBorder="1" applyAlignment="1">
      <alignment horizontal="center" vertical="center" textRotation="90" wrapText="1"/>
    </xf>
    <xf numFmtId="166" fontId="0" fillId="11" borderId="1" xfId="0" applyNumberFormat="1" applyFill="1" applyBorder="1" applyAlignment="1">
      <alignment horizontal="center" vertical="center" textRotation="90" wrapText="1"/>
    </xf>
    <xf numFmtId="9" fontId="1" fillId="17" borderId="1" xfId="0" applyNumberFormat="1" applyFont="1" applyFill="1" applyBorder="1" applyAlignment="1">
      <alignment horizontal="center" vertical="center" textRotation="90"/>
    </xf>
    <xf numFmtId="10" fontId="0" fillId="23" borderId="1" xfId="0" applyNumberFormat="1" applyFill="1" applyBorder="1" applyAlignment="1">
      <alignment horizontal="center" vertical="center" textRotation="90"/>
    </xf>
    <xf numFmtId="0" fontId="0" fillId="23" borderId="1" xfId="0" applyFill="1" applyBorder="1" applyAlignment="1">
      <alignment horizontal="center" vertical="center" textRotation="90"/>
    </xf>
    <xf numFmtId="10" fontId="0" fillId="16" borderId="1" xfId="0" applyNumberFormat="1" applyFill="1" applyBorder="1" applyAlignment="1">
      <alignment horizontal="center" vertical="center" textRotation="90" wrapText="1"/>
    </xf>
    <xf numFmtId="166" fontId="0" fillId="25" borderId="1" xfId="0" applyNumberFormat="1" applyFill="1" applyBorder="1" applyAlignment="1">
      <alignment horizontal="center" vertical="center" textRotation="90"/>
    </xf>
    <xf numFmtId="0" fontId="1" fillId="26" borderId="1" xfId="0" applyFont="1" applyFill="1" applyBorder="1" applyAlignment="1">
      <alignment horizontal="center" vertical="center" textRotation="90" wrapText="1"/>
    </xf>
    <xf numFmtId="0" fontId="1" fillId="26" borderId="4" xfId="0" applyFont="1" applyFill="1" applyBorder="1" applyAlignment="1">
      <alignment horizontal="center" vertical="center" textRotation="90" wrapText="1"/>
    </xf>
    <xf numFmtId="10" fontId="0" fillId="19" borderId="8" xfId="0" applyNumberFormat="1" applyFill="1" applyBorder="1" applyAlignment="1">
      <alignment horizontal="center" vertical="center" textRotation="90" wrapText="1"/>
    </xf>
    <xf numFmtId="10" fontId="0" fillId="19" borderId="2" xfId="0" applyNumberFormat="1" applyFill="1" applyBorder="1" applyAlignment="1">
      <alignment horizontal="center" vertical="center" textRotation="90" wrapText="1"/>
    </xf>
    <xf numFmtId="166" fontId="0" fillId="9" borderId="15" xfId="0" applyNumberFormat="1" applyFill="1" applyBorder="1" applyAlignment="1">
      <alignment horizontal="center" vertical="center" textRotation="90"/>
    </xf>
    <xf numFmtId="0" fontId="0" fillId="0" borderId="15" xfId="0" applyBorder="1" applyAlignment="1">
      <alignment vertical="center"/>
    </xf>
    <xf numFmtId="10" fontId="0" fillId="19" borderId="15" xfId="0" applyNumberFormat="1" applyFill="1" applyBorder="1" applyAlignment="1">
      <alignment horizontal="center" vertical="center" textRotation="90" wrapText="1"/>
    </xf>
    <xf numFmtId="0" fontId="0" fillId="19" borderId="15" xfId="0" applyFill="1" applyBorder="1" applyAlignment="1">
      <alignment horizontal="center" vertical="center" textRotation="90" wrapText="1"/>
    </xf>
    <xf numFmtId="166" fontId="0" fillId="11" borderId="14" xfId="0" applyNumberFormat="1" applyFill="1" applyBorder="1" applyAlignment="1">
      <alignment horizontal="center" vertical="center" textRotation="90" wrapText="1"/>
    </xf>
    <xf numFmtId="0" fontId="0" fillId="0" borderId="0" xfId="0" applyAlignment="1">
      <alignment horizontal="center" vertical="center" wrapText="1"/>
    </xf>
    <xf numFmtId="10" fontId="0" fillId="19" borderId="10" xfId="0" applyNumberFormat="1" applyFill="1" applyBorder="1" applyAlignment="1">
      <alignment horizontal="center" vertical="center" textRotation="90" wrapText="1"/>
    </xf>
    <xf numFmtId="166" fontId="0" fillId="14" borderId="10" xfId="0" applyNumberFormat="1" applyFill="1" applyBorder="1" applyAlignment="1">
      <alignment horizontal="center" vertical="center" textRotation="90"/>
    </xf>
    <xf numFmtId="0" fontId="0" fillId="0" borderId="8" xfId="0" applyBorder="1" applyAlignment="1">
      <alignment horizontal="center" vertical="center" textRotation="90"/>
    </xf>
    <xf numFmtId="0" fontId="0" fillId="0" borderId="2" xfId="0" applyBorder="1" applyAlignment="1">
      <alignment horizontal="center" vertical="center" textRotation="90"/>
    </xf>
    <xf numFmtId="166" fontId="0" fillId="16" borderId="8" xfId="0" applyNumberFormat="1" applyFill="1" applyBorder="1" applyAlignment="1">
      <alignment horizontal="center" vertical="center" textRotation="90" wrapText="1"/>
    </xf>
    <xf numFmtId="166" fontId="0" fillId="16" borderId="2" xfId="0" applyNumberFormat="1" applyFill="1" applyBorder="1" applyAlignment="1">
      <alignment horizontal="center" vertical="center" textRotation="90" wrapText="1"/>
    </xf>
    <xf numFmtId="166" fontId="1" fillId="11" borderId="10" xfId="0" applyNumberFormat="1" applyFont="1" applyFill="1" applyBorder="1" applyAlignment="1">
      <alignment horizontal="center" vertical="center" textRotation="90" wrapText="1"/>
    </xf>
    <xf numFmtId="166" fontId="1" fillId="11" borderId="8" xfId="0" applyNumberFormat="1" applyFont="1" applyFill="1" applyBorder="1" applyAlignment="1">
      <alignment horizontal="center" vertical="center" textRotation="90" wrapText="1"/>
    </xf>
    <xf numFmtId="10" fontId="1" fillId="17" borderId="8" xfId="0" applyNumberFormat="1" applyFont="1" applyFill="1" applyBorder="1" applyAlignment="1">
      <alignment horizontal="center" vertical="center" textRotation="90" wrapText="1"/>
    </xf>
    <xf numFmtId="10" fontId="1" fillId="17" borderId="2" xfId="0" applyNumberFormat="1" applyFont="1" applyFill="1" applyBorder="1" applyAlignment="1">
      <alignment horizontal="center" vertical="center" textRotation="90" wrapText="1"/>
    </xf>
    <xf numFmtId="0" fontId="1" fillId="0" borderId="1" xfId="0" applyFont="1" applyBorder="1" applyAlignment="1">
      <alignment horizont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27" fillId="0" borderId="9" xfId="0" applyFont="1" applyBorder="1" applyAlignment="1">
      <alignment horizontal="center" wrapText="1"/>
    </xf>
    <xf numFmtId="0" fontId="27" fillId="0" borderId="5" xfId="0" applyFont="1" applyBorder="1" applyAlignment="1">
      <alignment horizontal="center" wrapText="1"/>
    </xf>
    <xf numFmtId="0" fontId="27" fillId="0" borderId="6" xfId="0" applyFont="1" applyBorder="1" applyAlignment="1">
      <alignment horizontal="center" wrapText="1"/>
    </xf>
    <xf numFmtId="0" fontId="1" fillId="3" borderId="10" xfId="4" applyFont="1" applyFill="1" applyBorder="1" applyAlignment="1">
      <alignment horizontal="center" vertical="center" textRotation="90" wrapText="1"/>
    </xf>
    <xf numFmtId="0" fontId="1" fillId="3" borderId="8" xfId="4" applyFont="1" applyFill="1" applyBorder="1" applyAlignment="1">
      <alignment horizontal="center" vertical="center" textRotation="90" wrapText="1"/>
    </xf>
    <xf numFmtId="0" fontId="1" fillId="3" borderId="2" xfId="4" applyFont="1" applyFill="1" applyBorder="1" applyAlignment="1">
      <alignment horizontal="center" vertical="center" textRotation="90" wrapText="1"/>
    </xf>
    <xf numFmtId="0" fontId="1" fillId="13" borderId="1" xfId="4" applyFont="1" applyFill="1" applyBorder="1" applyAlignment="1">
      <alignment horizontal="center" vertical="center" textRotation="90" wrapText="1"/>
    </xf>
    <xf numFmtId="0" fontId="1" fillId="31" borderId="10" xfId="4" applyFont="1" applyFill="1" applyBorder="1" applyAlignment="1">
      <alignment horizontal="center" vertical="center" textRotation="90"/>
    </xf>
    <xf numFmtId="0" fontId="1" fillId="31" borderId="8" xfId="4" applyFont="1" applyFill="1" applyBorder="1" applyAlignment="1">
      <alignment horizontal="center" vertical="center" textRotation="90"/>
    </xf>
    <xf numFmtId="0" fontId="1" fillId="31" borderId="2" xfId="4" applyFont="1" applyFill="1" applyBorder="1" applyAlignment="1">
      <alignment horizontal="center" vertical="center" textRotation="90"/>
    </xf>
    <xf numFmtId="0" fontId="22"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vertical="top" wrapText="1"/>
    </xf>
    <xf numFmtId="0" fontId="22" fillId="0" borderId="0" xfId="0" applyFont="1" applyAlignment="1">
      <alignment wrapText="1"/>
    </xf>
  </cellXfs>
  <cellStyles count="5">
    <cellStyle name="Comma" xfId="1" builtinId="3"/>
    <cellStyle name="Normal" xfId="0" builtinId="0"/>
    <cellStyle name="Normal 2" xfId="4"/>
    <cellStyle name="Normal_Sheet1" xfId="2"/>
    <cellStyle name="Normal_YCW Pay Rates 2008 - JESC 165" xfId="3"/>
  </cellStyles>
  <dxfs count="0"/>
  <tableStyles count="0" defaultTableStyle="TableStyleMedium2" defaultPivotStyle="PivotStyleLight16"/>
  <colors>
    <mruColors>
      <color rgb="FFCCECFF"/>
      <color rgb="FF2EF2B1"/>
      <color rgb="FFCCFFCC"/>
      <color rgb="FF00FFFF"/>
      <color rgb="FF2D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87"/>
  <sheetViews>
    <sheetView tabSelected="1" topLeftCell="A3" zoomScale="90" zoomScaleNormal="90" workbookViewId="0">
      <pane xSplit="26" ySplit="3" topLeftCell="AA6" activePane="bottomRight" state="frozen"/>
      <selection activeCell="A3" sqref="A3"/>
      <selection pane="topRight" activeCell="AA3" sqref="AA3"/>
      <selection pane="bottomLeft" activeCell="A6" sqref="A6"/>
      <selection pane="bottomRight" activeCell="AC11" sqref="AC11"/>
    </sheetView>
  </sheetViews>
  <sheetFormatPr defaultColWidth="9.140625" defaultRowHeight="12.75"/>
  <cols>
    <col min="1" max="1" width="11.7109375" style="117" customWidth="1"/>
    <col min="2" max="2" width="9.140625" style="15" hidden="1" customWidth="1"/>
    <col min="3" max="6" width="9.85546875" style="15" hidden="1" customWidth="1"/>
    <col min="7" max="9" width="11" style="15" hidden="1" customWidth="1"/>
    <col min="10" max="10" width="11" style="60" hidden="1" customWidth="1"/>
    <col min="11" max="11" width="12.7109375" style="40" hidden="1" customWidth="1"/>
    <col min="12" max="12" width="6.7109375" style="40" hidden="1" customWidth="1"/>
    <col min="13" max="13" width="10.140625" style="40" hidden="1" customWidth="1"/>
    <col min="14" max="14" width="8.28515625" style="40" hidden="1" customWidth="1"/>
    <col min="15" max="15" width="9.140625" style="15" hidden="1" customWidth="1"/>
    <col min="16" max="16" width="10.28515625" style="82" hidden="1" customWidth="1"/>
    <col min="17" max="17" width="12.42578125" style="61" hidden="1" customWidth="1"/>
    <col min="18" max="18" width="11" style="61" hidden="1" customWidth="1"/>
    <col min="19" max="20" width="9.140625" style="61" hidden="1" customWidth="1"/>
    <col min="21" max="21" width="11.42578125" style="113" hidden="1" customWidth="1"/>
    <col min="22" max="22" width="11.42578125" style="82" hidden="1" customWidth="1"/>
    <col min="23" max="23" width="11.42578125" style="113" hidden="1" customWidth="1"/>
    <col min="24" max="28" width="11.42578125" style="82" hidden="1" customWidth="1"/>
    <col min="29" max="30" width="11.42578125" style="82" customWidth="1"/>
    <col min="31" max="31" width="6.140625" style="117" customWidth="1"/>
    <col min="32" max="32" width="6.140625" style="117" hidden="1" customWidth="1"/>
    <col min="33" max="33" width="3.42578125" style="117" hidden="1" customWidth="1"/>
    <col min="34" max="34" width="3.42578125" style="117" customWidth="1"/>
    <col min="35" max="35" width="6.85546875" style="16" hidden="1" customWidth="1"/>
    <col min="36" max="37" width="5.140625" style="117" hidden="1" customWidth="1"/>
    <col min="38" max="38" width="5.140625" style="117" customWidth="1"/>
    <col min="39" max="39" width="5.140625" hidden="1" customWidth="1"/>
    <col min="40" max="41" width="21.85546875" style="112" customWidth="1"/>
    <col min="42" max="42" width="11.5703125" style="18" hidden="1" customWidth="1"/>
    <col min="43" max="43" width="11" style="18" hidden="1" customWidth="1"/>
    <col min="44" max="44" width="17.140625" style="19" hidden="1" customWidth="1"/>
    <col min="45" max="45" width="18.42578125" style="19" hidden="1" customWidth="1"/>
    <col min="46" max="46" width="10.85546875" style="19" hidden="1" customWidth="1"/>
    <col min="47" max="47" width="11" style="19" hidden="1" customWidth="1"/>
    <col min="48" max="48" width="10.140625" style="19" hidden="1" customWidth="1"/>
    <col min="49" max="49" width="16.85546875" style="19" hidden="1" customWidth="1"/>
    <col min="50" max="56" width="7.28515625" style="15" customWidth="1"/>
    <col min="57" max="16384" width="9.140625" style="15"/>
  </cols>
  <sheetData>
    <row r="1" spans="1:52" ht="12.75" hidden="1" customHeight="1">
      <c r="A1" s="114"/>
    </row>
    <row r="2" spans="1:52" ht="12.75" hidden="1" customHeight="1">
      <c r="A2" s="115"/>
      <c r="B2" s="62"/>
      <c r="C2" s="62"/>
      <c r="D2" s="62"/>
      <c r="E2" s="62"/>
      <c r="K2" s="47">
        <v>41365</v>
      </c>
    </row>
    <row r="3" spans="1:52" s="17" customFormat="1" ht="97.5" customHeight="1">
      <c r="A3" s="63" t="s">
        <v>5</v>
      </c>
      <c r="B3" s="64" t="s">
        <v>96</v>
      </c>
      <c r="C3" s="59" t="s">
        <v>97</v>
      </c>
      <c r="D3" s="59" t="s">
        <v>98</v>
      </c>
      <c r="E3" s="59" t="s">
        <v>100</v>
      </c>
      <c r="F3" s="65" t="s">
        <v>51</v>
      </c>
      <c r="G3" s="65" t="s">
        <v>52</v>
      </c>
      <c r="H3" s="65" t="s">
        <v>101</v>
      </c>
      <c r="I3" s="65" t="s">
        <v>102</v>
      </c>
      <c r="J3" s="66" t="s">
        <v>92</v>
      </c>
      <c r="K3" s="48" t="s">
        <v>104</v>
      </c>
      <c r="L3" s="41" t="s">
        <v>93</v>
      </c>
      <c r="M3" s="41" t="s">
        <v>94</v>
      </c>
      <c r="N3" s="41" t="s">
        <v>95</v>
      </c>
      <c r="P3" s="84" t="s">
        <v>110</v>
      </c>
      <c r="Q3" s="58" t="s">
        <v>114</v>
      </c>
      <c r="R3" s="67" t="s">
        <v>111</v>
      </c>
      <c r="S3" s="68" t="s">
        <v>108</v>
      </c>
      <c r="T3" s="68" t="s">
        <v>109</v>
      </c>
      <c r="U3" s="142" t="s">
        <v>112</v>
      </c>
      <c r="V3" s="143" t="s">
        <v>121</v>
      </c>
      <c r="W3" s="132" t="s">
        <v>127</v>
      </c>
      <c r="X3" s="140" t="s">
        <v>125</v>
      </c>
      <c r="Y3" s="138" t="s">
        <v>130</v>
      </c>
      <c r="Z3" s="138" t="s">
        <v>128</v>
      </c>
      <c r="AA3" s="148" t="s">
        <v>131</v>
      </c>
      <c r="AB3" s="148" t="s">
        <v>129</v>
      </c>
      <c r="AC3" s="148" t="s">
        <v>286</v>
      </c>
      <c r="AD3" s="148" t="s">
        <v>287</v>
      </c>
      <c r="AE3" s="65"/>
      <c r="AF3" s="65"/>
      <c r="AG3" s="118" t="s">
        <v>103</v>
      </c>
      <c r="AH3" s="119" t="s">
        <v>290</v>
      </c>
      <c r="AI3" s="46" t="s">
        <v>107</v>
      </c>
      <c r="AJ3" s="119" t="s">
        <v>118</v>
      </c>
      <c r="AK3" s="119" t="s">
        <v>126</v>
      </c>
      <c r="AL3" s="119" t="s">
        <v>291</v>
      </c>
      <c r="AM3" s="119" t="s">
        <v>180</v>
      </c>
      <c r="AN3" s="312" t="s">
        <v>6</v>
      </c>
      <c r="AO3" s="331"/>
      <c r="AP3" s="20" t="s">
        <v>53</v>
      </c>
      <c r="AQ3" s="20" t="s">
        <v>53</v>
      </c>
      <c r="AR3" s="317" t="s">
        <v>14</v>
      </c>
      <c r="AS3" s="318"/>
      <c r="AT3" s="318"/>
      <c r="AU3" s="318"/>
      <c r="AV3" s="319"/>
      <c r="AW3" s="320"/>
    </row>
    <row r="4" spans="1:52" ht="25.5" hidden="1" customHeight="1">
      <c r="A4" s="135">
        <v>4</v>
      </c>
      <c r="D4" s="69"/>
      <c r="E4" s="69"/>
      <c r="F4" s="70"/>
      <c r="G4" s="71"/>
      <c r="H4" s="71"/>
      <c r="I4" s="71"/>
      <c r="J4" s="72"/>
      <c r="K4" s="53">
        <v>12266</v>
      </c>
      <c r="L4" s="42">
        <f>K4/52.14/37</f>
        <v>6.3581418011797757</v>
      </c>
      <c r="M4" s="43"/>
      <c r="N4" s="43"/>
      <c r="P4" s="83"/>
      <c r="Q4" s="73"/>
      <c r="U4" s="144"/>
      <c r="V4" s="145"/>
      <c r="W4" s="133"/>
      <c r="X4" s="134"/>
      <c r="Y4" s="139"/>
      <c r="Z4" s="139"/>
      <c r="AA4" s="149"/>
      <c r="AB4" s="134"/>
      <c r="AC4" s="134"/>
      <c r="AD4" s="134"/>
      <c r="AE4" s="321" t="s">
        <v>4</v>
      </c>
      <c r="AF4" s="110"/>
      <c r="AG4" s="120" t="s">
        <v>119</v>
      </c>
      <c r="AH4" s="201"/>
      <c r="AI4" s="354">
        <v>5.5E-2</v>
      </c>
      <c r="AJ4" s="121">
        <v>5.5E-2</v>
      </c>
      <c r="AK4" s="121">
        <v>5.5E-2</v>
      </c>
      <c r="AL4" s="250"/>
      <c r="AN4" s="111" t="s">
        <v>106</v>
      </c>
      <c r="AO4" s="126"/>
      <c r="AP4" s="22" t="s">
        <v>54</v>
      </c>
      <c r="AQ4" s="23"/>
      <c r="AR4" s="24"/>
      <c r="AS4" s="24"/>
      <c r="AT4" s="24"/>
      <c r="AU4" s="24"/>
      <c r="AV4" s="49"/>
      <c r="AW4" s="50"/>
      <c r="AX4" s="74"/>
      <c r="AY4" s="74"/>
      <c r="AZ4" s="74"/>
    </row>
    <row r="5" spans="1:52" ht="33.6" hidden="1" customHeight="1">
      <c r="A5" s="135">
        <v>5</v>
      </c>
      <c r="B5" s="15">
        <v>11454</v>
      </c>
      <c r="C5" s="15">
        <f t="shared" ref="C5:C36" si="0">ROUND(B5*1.02475/1,0)*1</f>
        <v>11737</v>
      </c>
      <c r="D5" s="69">
        <v>12125</v>
      </c>
      <c r="E5" s="69">
        <v>12160</v>
      </c>
      <c r="F5" s="70">
        <v>12160</v>
      </c>
      <c r="G5" s="71">
        <f t="shared" ref="G5:G10" si="1">F5*1.25%+F5</f>
        <v>12312</v>
      </c>
      <c r="H5" s="71">
        <v>12312</v>
      </c>
      <c r="I5" s="71">
        <v>12312</v>
      </c>
      <c r="J5" s="72">
        <v>12312</v>
      </c>
      <c r="K5" s="53">
        <f t="shared" ref="K5:K10" si="2">J5*1%+J5</f>
        <v>12435.12</v>
      </c>
      <c r="L5" s="42">
        <f t="shared" ref="L5:L36" si="3">K5/52.142/37</f>
        <v>6.4455587496514202</v>
      </c>
      <c r="M5" s="44"/>
      <c r="N5" s="45"/>
      <c r="P5" s="85">
        <f>SUM(K5+1065)</f>
        <v>13500.12</v>
      </c>
      <c r="Q5" s="42">
        <f t="shared" ref="Q5:Q68" si="4">P5/52.142/37</f>
        <v>6.9975855952611736</v>
      </c>
      <c r="S5" s="61">
        <v>325</v>
      </c>
      <c r="T5" s="61">
        <v>0</v>
      </c>
      <c r="U5" s="144"/>
      <c r="V5" s="145"/>
      <c r="W5" s="133"/>
      <c r="X5" s="134"/>
      <c r="Y5" s="139"/>
      <c r="Z5" s="139"/>
      <c r="AA5" s="149"/>
      <c r="AB5" s="134"/>
      <c r="AC5" s="134"/>
      <c r="AD5" s="134"/>
      <c r="AE5" s="321"/>
      <c r="AF5" s="110"/>
      <c r="AG5" s="351" t="s">
        <v>181</v>
      </c>
      <c r="AH5" s="200"/>
      <c r="AI5" s="355"/>
      <c r="AJ5" s="122">
        <v>5.5E-2</v>
      </c>
      <c r="AK5" s="122">
        <v>5.5E-2</v>
      </c>
      <c r="AL5" s="251"/>
      <c r="AN5" s="111" t="s">
        <v>122</v>
      </c>
      <c r="AO5" s="312" t="s">
        <v>105</v>
      </c>
      <c r="AP5" s="22"/>
      <c r="AQ5" s="23"/>
      <c r="AR5" s="24"/>
      <c r="AS5" s="24"/>
      <c r="AT5" s="24"/>
      <c r="AU5" s="24"/>
      <c r="AV5" s="50"/>
      <c r="AW5" s="51"/>
      <c r="AX5" s="74"/>
      <c r="AY5" s="74"/>
      <c r="AZ5" s="74"/>
    </row>
    <row r="6" spans="1:52" ht="12.75" customHeight="1">
      <c r="A6" s="135">
        <v>6</v>
      </c>
      <c r="B6" s="15">
        <v>11619</v>
      </c>
      <c r="C6" s="15">
        <f t="shared" si="0"/>
        <v>11907</v>
      </c>
      <c r="D6" s="69">
        <v>12299</v>
      </c>
      <c r="E6" s="69">
        <v>12334</v>
      </c>
      <c r="F6" s="70">
        <v>12334</v>
      </c>
      <c r="G6" s="71">
        <f t="shared" si="1"/>
        <v>12488.174999999999</v>
      </c>
      <c r="H6" s="71">
        <v>12488.174999999999</v>
      </c>
      <c r="I6" s="71">
        <v>12488.174999999999</v>
      </c>
      <c r="J6" s="72">
        <v>12489</v>
      </c>
      <c r="K6" s="53">
        <f t="shared" si="2"/>
        <v>12613.89</v>
      </c>
      <c r="L6" s="42">
        <f t="shared" si="3"/>
        <v>6.5382215094539129</v>
      </c>
      <c r="M6" s="44">
        <f t="shared" ref="M6:M37" si="5">K6-K5</f>
        <v>178.76999999999862</v>
      </c>
      <c r="N6" s="45">
        <f t="shared" ref="N6:N37" si="6">M6/J5</f>
        <v>1.4519980506822499E-2</v>
      </c>
      <c r="P6" s="85">
        <f>SUM(K6+1000)</f>
        <v>13613.89</v>
      </c>
      <c r="Q6" s="42">
        <f t="shared" si="4"/>
        <v>7.0565565757541515</v>
      </c>
      <c r="S6" s="61">
        <v>325</v>
      </c>
      <c r="T6" s="61">
        <v>0</v>
      </c>
      <c r="U6" s="144">
        <f t="shared" ref="U6:U69" si="7">P6</f>
        <v>13613.89</v>
      </c>
      <c r="V6" s="146">
        <f t="shared" ref="V6:X69" si="8">U6/52.142/37</f>
        <v>7.0565565757541515</v>
      </c>
      <c r="W6" s="133">
        <v>13890.9</v>
      </c>
      <c r="X6" s="141">
        <v>7.2</v>
      </c>
      <c r="Y6" s="147">
        <v>14513.89</v>
      </c>
      <c r="Z6" s="139">
        <v>7.5229138579923918</v>
      </c>
      <c r="AA6" s="150">
        <v>15013.89</v>
      </c>
      <c r="AB6" s="149">
        <f>(AA6/52.143)/37</f>
        <v>7.7820764208198767</v>
      </c>
      <c r="AC6" s="150">
        <v>16394</v>
      </c>
      <c r="AD6" s="149">
        <f>AC6/52.143/37</f>
        <v>8.4974221099875553</v>
      </c>
      <c r="AE6" s="321"/>
      <c r="AF6" s="110"/>
      <c r="AG6" s="351"/>
      <c r="AH6" s="350" t="s">
        <v>288</v>
      </c>
      <c r="AI6" s="355"/>
      <c r="AJ6" s="123"/>
      <c r="AK6" s="352">
        <v>5.8000000000000003E-2</v>
      </c>
      <c r="AL6" s="352">
        <v>5.8000000000000003E-2</v>
      </c>
      <c r="AM6" s="360">
        <v>5.8000000000000003E-2</v>
      </c>
      <c r="AN6" s="111" t="s">
        <v>122</v>
      </c>
      <c r="AO6" s="312"/>
      <c r="AP6" s="22"/>
      <c r="AQ6" s="23"/>
      <c r="AR6" s="24"/>
      <c r="AS6" s="24"/>
      <c r="AT6" s="24"/>
      <c r="AU6" s="24"/>
      <c r="AV6" s="50"/>
      <c r="AW6" s="51"/>
      <c r="AX6" s="74"/>
      <c r="AY6" s="74"/>
      <c r="AZ6" s="74"/>
    </row>
    <row r="7" spans="1:52" ht="12.75" customHeight="1">
      <c r="A7" s="135">
        <v>7</v>
      </c>
      <c r="B7" s="15">
        <v>11994</v>
      </c>
      <c r="C7" s="15">
        <f t="shared" si="0"/>
        <v>12291</v>
      </c>
      <c r="D7" s="69">
        <f t="shared" ref="D7:D38" si="9">(C7*2.45%)+C7</f>
        <v>12592.129499999999</v>
      </c>
      <c r="E7" s="69">
        <f t="shared" ref="E7:E38" si="10">(C7*2.75%)+C7</f>
        <v>12629.002500000001</v>
      </c>
      <c r="F7" s="70">
        <v>12629.002500000001</v>
      </c>
      <c r="G7" s="71">
        <f t="shared" si="1"/>
        <v>12786.865031250001</v>
      </c>
      <c r="H7" s="71">
        <v>12786.865031250001</v>
      </c>
      <c r="I7" s="71">
        <v>12786.865031250001</v>
      </c>
      <c r="J7" s="72">
        <v>12786.865031250001</v>
      </c>
      <c r="K7" s="53">
        <f t="shared" si="2"/>
        <v>12914.733681562502</v>
      </c>
      <c r="L7" s="42">
        <f t="shared" si="3"/>
        <v>6.6941593390826206</v>
      </c>
      <c r="M7" s="44">
        <f t="shared" si="5"/>
        <v>300.84368156250275</v>
      </c>
      <c r="N7" s="45">
        <f t="shared" si="6"/>
        <v>2.4088692574465751E-2</v>
      </c>
      <c r="P7" s="85">
        <f>SUM(K7+800)</f>
        <v>13714.733681562502</v>
      </c>
      <c r="Q7" s="42">
        <f t="shared" si="4"/>
        <v>7.1088273921228113</v>
      </c>
      <c r="S7" s="61">
        <v>325</v>
      </c>
      <c r="T7" s="61">
        <v>0</v>
      </c>
      <c r="U7" s="144">
        <f t="shared" si="7"/>
        <v>13714.733681562502</v>
      </c>
      <c r="V7" s="146">
        <f t="shared" si="8"/>
        <v>7.1088273921228113</v>
      </c>
      <c r="W7" s="133">
        <v>13987.37</v>
      </c>
      <c r="X7" s="141">
        <v>7.25</v>
      </c>
      <c r="Y7" s="147">
        <v>14614.733681562502</v>
      </c>
      <c r="Z7" s="139">
        <v>7.5751836719097847</v>
      </c>
      <c r="AA7" s="150">
        <v>15114.733681562502</v>
      </c>
      <c r="AB7" s="149">
        <f t="shared" ref="AB7:AB70" si="11">(AA7/52.143)/37</f>
        <v>7.8343462347372697</v>
      </c>
      <c r="AC7" s="150">
        <v>16495</v>
      </c>
      <c r="AD7" s="149">
        <f t="shared" ref="AD7:AD70" si="12">AC7/52.143/37</f>
        <v>8.5497729476787061</v>
      </c>
      <c r="AE7" s="321"/>
      <c r="AF7" s="110"/>
      <c r="AG7" s="351"/>
      <c r="AH7" s="350"/>
      <c r="AI7" s="355"/>
      <c r="AJ7" s="123"/>
      <c r="AK7" s="352"/>
      <c r="AL7" s="352"/>
      <c r="AM7" s="352"/>
      <c r="AN7" s="300" t="s">
        <v>68</v>
      </c>
      <c r="AO7" s="312"/>
      <c r="AP7" s="22"/>
      <c r="AQ7" s="23"/>
      <c r="AR7" s="309" t="s">
        <v>10</v>
      </c>
      <c r="AS7" s="309" t="s">
        <v>11</v>
      </c>
      <c r="AT7" s="24"/>
      <c r="AU7" s="24"/>
      <c r="AV7" s="50"/>
      <c r="AW7" s="51"/>
      <c r="AX7" s="74"/>
    </row>
    <row r="8" spans="1:52">
      <c r="A8" s="135">
        <v>8</v>
      </c>
      <c r="B8" s="15">
        <v>12372</v>
      </c>
      <c r="C8" s="15">
        <f t="shared" si="0"/>
        <v>12678</v>
      </c>
      <c r="D8" s="69">
        <f t="shared" si="9"/>
        <v>12988.611000000001</v>
      </c>
      <c r="E8" s="69">
        <f t="shared" si="10"/>
        <v>13026.645</v>
      </c>
      <c r="F8" s="70">
        <v>13026.645</v>
      </c>
      <c r="G8" s="71">
        <f t="shared" si="1"/>
        <v>13189.4780625</v>
      </c>
      <c r="H8" s="71">
        <v>13189.4780625</v>
      </c>
      <c r="I8" s="71">
        <v>13189.4780625</v>
      </c>
      <c r="J8" s="72">
        <v>13189.4780625</v>
      </c>
      <c r="K8" s="53">
        <f t="shared" si="2"/>
        <v>13321.372843125</v>
      </c>
      <c r="L8" s="42">
        <f t="shared" si="3"/>
        <v>6.9049346758513908</v>
      </c>
      <c r="M8" s="44">
        <f t="shared" si="5"/>
        <v>406.63916156249797</v>
      </c>
      <c r="N8" s="45">
        <f t="shared" si="6"/>
        <v>3.1801318037588316E-2</v>
      </c>
      <c r="P8" s="85">
        <f>SUM(K8+550)</f>
        <v>13871.372843125</v>
      </c>
      <c r="Q8" s="42">
        <f t="shared" si="4"/>
        <v>7.1900189623165227</v>
      </c>
      <c r="S8" s="61">
        <v>150</v>
      </c>
      <c r="T8" s="61">
        <v>0</v>
      </c>
      <c r="U8" s="144">
        <f t="shared" si="7"/>
        <v>13871.372843125</v>
      </c>
      <c r="V8" s="146">
        <f t="shared" si="8"/>
        <v>7.1900189623165227</v>
      </c>
      <c r="W8" s="133">
        <v>14141.71</v>
      </c>
      <c r="X8" s="141">
        <v>7.33</v>
      </c>
      <c r="Y8" s="147">
        <v>14771.372843125</v>
      </c>
      <c r="Z8" s="139">
        <v>7.6563736850091555</v>
      </c>
      <c r="AA8" s="150">
        <v>15246.372843125</v>
      </c>
      <c r="AB8" s="149">
        <f t="shared" si="11"/>
        <v>7.9025781196952662</v>
      </c>
      <c r="AC8" s="150">
        <v>16626</v>
      </c>
      <c r="AD8" s="149">
        <f t="shared" si="12"/>
        <v>8.6176735391395081</v>
      </c>
      <c r="AE8" s="321"/>
      <c r="AF8" s="110"/>
      <c r="AG8" s="351"/>
      <c r="AH8" s="350"/>
      <c r="AI8" s="355"/>
      <c r="AJ8" s="123"/>
      <c r="AK8" s="352"/>
      <c r="AL8" s="352"/>
      <c r="AM8" s="352"/>
      <c r="AN8" s="322"/>
      <c r="AO8" s="126"/>
      <c r="AP8" s="22"/>
      <c r="AQ8" s="23"/>
      <c r="AR8" s="324"/>
      <c r="AS8" s="324"/>
      <c r="AT8" s="24"/>
      <c r="AU8" s="24"/>
      <c r="AV8" s="50"/>
      <c r="AW8" s="51"/>
      <c r="AX8" s="74"/>
    </row>
    <row r="9" spans="1:52" ht="12.75" customHeight="1">
      <c r="A9" s="135">
        <v>9</v>
      </c>
      <c r="B9" s="15">
        <v>12747</v>
      </c>
      <c r="C9" s="15">
        <f t="shared" si="0"/>
        <v>13062</v>
      </c>
      <c r="D9" s="69">
        <f t="shared" si="9"/>
        <v>13382.019</v>
      </c>
      <c r="E9" s="69">
        <f t="shared" si="10"/>
        <v>13421.205</v>
      </c>
      <c r="F9" s="70">
        <v>13421.205</v>
      </c>
      <c r="G9" s="71">
        <f t="shared" si="1"/>
        <v>13588.9700625</v>
      </c>
      <c r="H9" s="71">
        <v>13588.9700625</v>
      </c>
      <c r="I9" s="71">
        <v>13588.9700625</v>
      </c>
      <c r="J9" s="72">
        <v>13588.9700625</v>
      </c>
      <c r="K9" s="53">
        <f t="shared" si="2"/>
        <v>13724.859763125001</v>
      </c>
      <c r="L9" s="42">
        <f t="shared" si="3"/>
        <v>7.1140760952808701</v>
      </c>
      <c r="M9" s="44">
        <f t="shared" si="5"/>
        <v>403.48692000000119</v>
      </c>
      <c r="N9" s="45">
        <f t="shared" si="6"/>
        <v>3.0591575958353143E-2</v>
      </c>
      <c r="P9" s="85">
        <f>SUM(K9+350)</f>
        <v>14074.859763125001</v>
      </c>
      <c r="Q9" s="42">
        <f t="shared" si="4"/>
        <v>7.2954933684859542</v>
      </c>
      <c r="S9" s="61">
        <v>150</v>
      </c>
      <c r="T9" s="61">
        <v>0</v>
      </c>
      <c r="U9" s="144">
        <f t="shared" si="7"/>
        <v>14074.859763125001</v>
      </c>
      <c r="V9" s="146">
        <f t="shared" si="8"/>
        <v>7.2954933684859542</v>
      </c>
      <c r="W9" s="133">
        <v>14295.05</v>
      </c>
      <c r="X9" s="141">
        <v>7.41</v>
      </c>
      <c r="Y9" s="147">
        <v>14974.859763125001</v>
      </c>
      <c r="Z9" s="139">
        <v>7.7618460683872996</v>
      </c>
      <c r="AA9" s="150">
        <v>15374.859763125001</v>
      </c>
      <c r="AB9" s="149">
        <f t="shared" si="11"/>
        <v>7.9691761186492869</v>
      </c>
      <c r="AC9" s="150">
        <v>16755</v>
      </c>
      <c r="AD9" s="149">
        <f t="shared" si="12"/>
        <v>8.6845374803489985</v>
      </c>
      <c r="AE9" s="321"/>
      <c r="AF9" s="110"/>
      <c r="AG9" s="351"/>
      <c r="AH9" s="350"/>
      <c r="AI9" s="356">
        <v>5.8000000000000003E-2</v>
      </c>
      <c r="AJ9" s="123"/>
      <c r="AK9" s="352"/>
      <c r="AL9" s="352"/>
      <c r="AM9" s="352"/>
      <c r="AN9" s="323"/>
      <c r="AO9" s="303" t="s">
        <v>34</v>
      </c>
      <c r="AP9" s="22"/>
      <c r="AQ9" s="25"/>
      <c r="AR9" s="324"/>
      <c r="AS9" s="324"/>
      <c r="AT9" s="24"/>
      <c r="AU9" s="24"/>
      <c r="AV9" s="50"/>
      <c r="AW9" s="51"/>
      <c r="AX9" s="74"/>
    </row>
    <row r="10" spans="1:52" ht="12.75" customHeight="1">
      <c r="A10" s="135">
        <v>10</v>
      </c>
      <c r="B10" s="15">
        <v>13014</v>
      </c>
      <c r="C10" s="15">
        <f t="shared" si="0"/>
        <v>13336</v>
      </c>
      <c r="D10" s="69">
        <f t="shared" si="9"/>
        <v>13662.732</v>
      </c>
      <c r="E10" s="69">
        <f t="shared" si="10"/>
        <v>13702.74</v>
      </c>
      <c r="F10" s="70">
        <v>13702.74</v>
      </c>
      <c r="G10" s="71">
        <f t="shared" si="1"/>
        <v>13874.02425</v>
      </c>
      <c r="H10" s="71">
        <v>13874.02425</v>
      </c>
      <c r="I10" s="71">
        <v>13874.02425</v>
      </c>
      <c r="J10" s="72">
        <v>13874.02425</v>
      </c>
      <c r="K10" s="53">
        <f t="shared" si="2"/>
        <v>14012.7644925</v>
      </c>
      <c r="L10" s="42">
        <f t="shared" si="3"/>
        <v>7.2633072122696127</v>
      </c>
      <c r="M10" s="44">
        <f t="shared" si="5"/>
        <v>287.90472937499908</v>
      </c>
      <c r="N10" s="45">
        <f t="shared" si="6"/>
        <v>2.118664829275755E-2</v>
      </c>
      <c r="P10" s="85">
        <f>SUM(K10+325)</f>
        <v>14337.7644925</v>
      </c>
      <c r="Q10" s="42">
        <f t="shared" si="4"/>
        <v>7.4317661088171896</v>
      </c>
      <c r="S10" s="61">
        <v>150</v>
      </c>
      <c r="T10" s="61">
        <v>0</v>
      </c>
      <c r="U10" s="144">
        <f t="shared" si="7"/>
        <v>14337.7644925</v>
      </c>
      <c r="V10" s="146">
        <f t="shared" si="8"/>
        <v>7.4317661088171896</v>
      </c>
      <c r="W10" s="133">
        <v>14469.69</v>
      </c>
      <c r="X10" s="141">
        <v>7.5</v>
      </c>
      <c r="Y10" s="147">
        <v>15237.7644925</v>
      </c>
      <c r="Z10" s="139">
        <v>7.8981161952758807</v>
      </c>
      <c r="AA10" s="150">
        <v>15612.7644925</v>
      </c>
      <c r="AB10" s="149">
        <f t="shared" si="11"/>
        <v>8.0924881173964938</v>
      </c>
      <c r="AC10" s="150">
        <v>16863</v>
      </c>
      <c r="AD10" s="149">
        <f t="shared" si="12"/>
        <v>8.740516593919736</v>
      </c>
      <c r="AE10" s="321"/>
      <c r="AF10" s="110"/>
      <c r="AG10" s="351"/>
      <c r="AH10" s="350"/>
      <c r="AI10" s="357"/>
      <c r="AJ10" s="123"/>
      <c r="AK10" s="352"/>
      <c r="AL10" s="352"/>
      <c r="AM10" s="352"/>
      <c r="AN10" s="126"/>
      <c r="AO10" s="306"/>
      <c r="AP10" s="22"/>
      <c r="AQ10" s="26"/>
      <c r="AR10" s="324"/>
      <c r="AS10" s="324"/>
      <c r="AT10" s="24"/>
      <c r="AU10" s="24"/>
      <c r="AV10" s="50"/>
      <c r="AW10" s="51"/>
      <c r="AX10" s="74"/>
    </row>
    <row r="11" spans="1:52">
      <c r="A11" s="135">
        <v>11</v>
      </c>
      <c r="B11" s="15">
        <v>13854</v>
      </c>
      <c r="C11" s="15">
        <f t="shared" si="0"/>
        <v>14197</v>
      </c>
      <c r="D11" s="69">
        <f t="shared" si="9"/>
        <v>14544.826499999999</v>
      </c>
      <c r="E11" s="69">
        <f t="shared" si="10"/>
        <v>14587.4175</v>
      </c>
      <c r="F11" s="70">
        <v>14587.4175</v>
      </c>
      <c r="G11" s="71">
        <f t="shared" ref="G11:G42" si="13">F11*1%+F11</f>
        <v>14733.291675</v>
      </c>
      <c r="H11" s="71">
        <v>14733.291675</v>
      </c>
      <c r="I11" s="71">
        <v>14733.291675</v>
      </c>
      <c r="J11" s="72">
        <v>14733.291675</v>
      </c>
      <c r="K11" s="53">
        <v>14880</v>
      </c>
      <c r="L11" s="42">
        <f t="shared" si="3"/>
        <v>7.7128257865475458</v>
      </c>
      <c r="M11" s="44">
        <f t="shared" si="5"/>
        <v>867.23550749999958</v>
      </c>
      <c r="N11" s="45">
        <f t="shared" si="6"/>
        <v>6.2507855822725666E-2</v>
      </c>
      <c r="P11" s="85">
        <f>SUM(K11*1.022)</f>
        <v>15207.36</v>
      </c>
      <c r="Q11" s="42">
        <f t="shared" si="4"/>
        <v>7.8825079538515928</v>
      </c>
      <c r="R11" s="61">
        <f>SUM(P11*0.0045)</f>
        <v>68.433120000000002</v>
      </c>
      <c r="S11" s="61">
        <v>100</v>
      </c>
      <c r="T11" s="61">
        <v>0</v>
      </c>
      <c r="U11" s="144">
        <f t="shared" si="7"/>
        <v>15207.36</v>
      </c>
      <c r="V11" s="146">
        <f t="shared" si="8"/>
        <v>7.8825079538515928</v>
      </c>
      <c r="W11" s="133">
        <f>U11</f>
        <v>15207.36</v>
      </c>
      <c r="X11" s="141">
        <f t="shared" si="8"/>
        <v>7.8825079538515928</v>
      </c>
      <c r="Y11" s="147">
        <v>15507.36</v>
      </c>
      <c r="Z11" s="139">
        <v>8.0378543205768338</v>
      </c>
      <c r="AA11" s="150">
        <v>15807.36</v>
      </c>
      <c r="AB11" s="149">
        <f t="shared" si="11"/>
        <v>8.193351858273326</v>
      </c>
      <c r="AC11" s="150">
        <v>17007</v>
      </c>
      <c r="AD11" s="149">
        <f t="shared" si="12"/>
        <v>8.8151554120140503</v>
      </c>
      <c r="AE11" s="321"/>
      <c r="AF11" s="110"/>
      <c r="AG11" s="351"/>
      <c r="AH11" s="350"/>
      <c r="AI11" s="357"/>
      <c r="AJ11" s="123"/>
      <c r="AK11" s="352"/>
      <c r="AL11" s="352"/>
      <c r="AM11" s="352"/>
      <c r="AN11" s="126"/>
      <c r="AO11" s="306"/>
      <c r="AP11" s="27"/>
      <c r="AQ11" s="28" t="s">
        <v>55</v>
      </c>
      <c r="AR11" s="324"/>
      <c r="AS11" s="324"/>
      <c r="AT11" s="24"/>
      <c r="AU11" s="24"/>
      <c r="AV11" s="50"/>
      <c r="AW11" s="51"/>
      <c r="AX11" s="74"/>
    </row>
    <row r="12" spans="1:52" ht="12.75" customHeight="1">
      <c r="A12" s="135">
        <v>12</v>
      </c>
      <c r="B12" s="15">
        <v>14142</v>
      </c>
      <c r="C12" s="15">
        <f t="shared" si="0"/>
        <v>14492</v>
      </c>
      <c r="D12" s="69">
        <f t="shared" si="9"/>
        <v>14847.054</v>
      </c>
      <c r="E12" s="69">
        <f t="shared" si="10"/>
        <v>14890.53</v>
      </c>
      <c r="F12" s="70">
        <v>14890.53</v>
      </c>
      <c r="G12" s="71">
        <f t="shared" si="13"/>
        <v>15039.435300000001</v>
      </c>
      <c r="H12" s="71">
        <v>15039.435300000001</v>
      </c>
      <c r="I12" s="71">
        <v>15039.435300000001</v>
      </c>
      <c r="J12" s="72">
        <v>15039.435300000001</v>
      </c>
      <c r="K12" s="53">
        <v>15189</v>
      </c>
      <c r="L12" s="42">
        <f t="shared" si="3"/>
        <v>7.8729913220343199</v>
      </c>
      <c r="M12" s="44">
        <f t="shared" si="5"/>
        <v>309</v>
      </c>
      <c r="N12" s="45">
        <f t="shared" si="6"/>
        <v>2.0972909979398748E-2</v>
      </c>
      <c r="P12" s="85">
        <f t="shared" ref="P12:P71" si="14">SUM(K12*1.022)</f>
        <v>15523.157999999999</v>
      </c>
      <c r="Q12" s="42">
        <f t="shared" si="4"/>
        <v>8.0461971311190741</v>
      </c>
      <c r="R12" s="61">
        <f t="shared" ref="R12:R49" si="15">SUM(P12*0.0045)</f>
        <v>69.854210999999992</v>
      </c>
      <c r="S12" s="61">
        <v>100</v>
      </c>
      <c r="T12" s="61">
        <v>0</v>
      </c>
      <c r="U12" s="144">
        <f t="shared" si="7"/>
        <v>15523.157999999999</v>
      </c>
      <c r="V12" s="146">
        <f t="shared" si="8"/>
        <v>8.0461971311190741</v>
      </c>
      <c r="W12" s="133">
        <f t="shared" ref="W12:W75" si="16">U12</f>
        <v>15523.157999999999</v>
      </c>
      <c r="X12" s="141">
        <f t="shared" si="8"/>
        <v>8.0461971311190741</v>
      </c>
      <c r="Y12" s="147">
        <v>15823.157999999999</v>
      </c>
      <c r="Z12" s="139">
        <v>8.2015403586084208</v>
      </c>
      <c r="AA12" s="150">
        <v>16123.157999999999</v>
      </c>
      <c r="AB12" s="149">
        <f t="shared" si="11"/>
        <v>8.3570378963049112</v>
      </c>
      <c r="AC12" s="150">
        <v>17173</v>
      </c>
      <c r="AD12" s="149">
        <f t="shared" si="12"/>
        <v>8.9011973828727768</v>
      </c>
      <c r="AE12" s="321"/>
      <c r="AF12" s="110"/>
      <c r="AG12" s="351"/>
      <c r="AH12" s="350"/>
      <c r="AI12" s="357"/>
      <c r="AJ12" s="123"/>
      <c r="AK12" s="352"/>
      <c r="AL12" s="352"/>
      <c r="AM12" s="352"/>
      <c r="AN12" s="300" t="s">
        <v>19</v>
      </c>
      <c r="AO12" s="306"/>
      <c r="AP12" s="23"/>
      <c r="AQ12" s="22"/>
      <c r="AR12" s="324"/>
      <c r="AS12" s="324"/>
      <c r="AT12" s="309" t="s">
        <v>12</v>
      </c>
      <c r="AU12" s="24"/>
      <c r="AV12" s="50"/>
      <c r="AW12" s="50"/>
      <c r="AX12" s="74"/>
    </row>
    <row r="13" spans="1:52">
      <c r="A13" s="135">
        <v>13</v>
      </c>
      <c r="B13" s="15">
        <v>14523</v>
      </c>
      <c r="C13" s="15">
        <f t="shared" si="0"/>
        <v>14882</v>
      </c>
      <c r="D13" s="69">
        <f t="shared" si="9"/>
        <v>15246.609</v>
      </c>
      <c r="E13" s="69">
        <f t="shared" si="10"/>
        <v>15291.254999999999</v>
      </c>
      <c r="F13" s="70">
        <v>15291.254999999999</v>
      </c>
      <c r="G13" s="71">
        <f t="shared" si="13"/>
        <v>15444.167549999998</v>
      </c>
      <c r="H13" s="71">
        <v>15444.167549999998</v>
      </c>
      <c r="I13" s="71">
        <v>15444.167549999998</v>
      </c>
      <c r="J13" s="72">
        <v>15444.167549999998</v>
      </c>
      <c r="K13" s="53">
        <v>15598</v>
      </c>
      <c r="L13" s="42">
        <f t="shared" si="3"/>
        <v>8.0849903641511158</v>
      </c>
      <c r="M13" s="44">
        <f t="shared" si="5"/>
        <v>409</v>
      </c>
      <c r="N13" s="45">
        <f t="shared" si="6"/>
        <v>2.7195170020778637E-2</v>
      </c>
      <c r="P13" s="85">
        <f t="shared" si="14"/>
        <v>15941.156000000001</v>
      </c>
      <c r="Q13" s="42">
        <f t="shared" si="4"/>
        <v>8.2628601521624425</v>
      </c>
      <c r="R13" s="61">
        <f t="shared" si="15"/>
        <v>71.735202000000001</v>
      </c>
      <c r="S13" s="61">
        <v>100</v>
      </c>
      <c r="T13" s="61">
        <v>0</v>
      </c>
      <c r="U13" s="144">
        <f t="shared" si="7"/>
        <v>15941.156000000001</v>
      </c>
      <c r="V13" s="146">
        <f t="shared" si="8"/>
        <v>8.2628601521624425</v>
      </c>
      <c r="W13" s="133">
        <f t="shared" si="16"/>
        <v>15941.156000000001</v>
      </c>
      <c r="X13" s="141">
        <f t="shared" si="8"/>
        <v>8.2628601521624425</v>
      </c>
      <c r="Y13" s="147">
        <v>16191.156000000001</v>
      </c>
      <c r="Z13" s="139">
        <v>8.3922829681991988</v>
      </c>
      <c r="AA13" s="150">
        <v>16491.156000000003</v>
      </c>
      <c r="AB13" s="149">
        <f t="shared" si="11"/>
        <v>8.5477805058956911</v>
      </c>
      <c r="AC13" s="150">
        <v>17391</v>
      </c>
      <c r="AD13" s="149">
        <f t="shared" si="12"/>
        <v>9.0141922602655598</v>
      </c>
      <c r="AE13" s="321"/>
      <c r="AF13" s="110"/>
      <c r="AG13" s="351"/>
      <c r="AH13" s="350"/>
      <c r="AI13" s="357"/>
      <c r="AJ13" s="123"/>
      <c r="AK13" s="352"/>
      <c r="AL13" s="352"/>
      <c r="AM13" s="352"/>
      <c r="AN13" s="301"/>
      <c r="AO13" s="307"/>
      <c r="AP13" s="23"/>
      <c r="AQ13" s="29"/>
      <c r="AR13" s="324"/>
      <c r="AS13" s="324"/>
      <c r="AT13" s="310"/>
      <c r="AU13" s="24"/>
      <c r="AV13" s="332"/>
      <c r="AW13" s="333"/>
      <c r="AX13" s="74"/>
    </row>
    <row r="14" spans="1:52">
      <c r="A14" s="135">
        <v>14</v>
      </c>
      <c r="B14" s="15">
        <v>14787</v>
      </c>
      <c r="C14" s="15">
        <f t="shared" si="0"/>
        <v>15153</v>
      </c>
      <c r="D14" s="69">
        <f t="shared" si="9"/>
        <v>15524.2485</v>
      </c>
      <c r="E14" s="69">
        <f t="shared" si="10"/>
        <v>15569.7075</v>
      </c>
      <c r="F14" s="70">
        <v>15569.7075</v>
      </c>
      <c r="G14" s="71">
        <f t="shared" si="13"/>
        <v>15725.404575</v>
      </c>
      <c r="H14" s="71">
        <v>15725.404575</v>
      </c>
      <c r="I14" s="71">
        <v>15725.404575</v>
      </c>
      <c r="J14" s="72">
        <v>15725.404575</v>
      </c>
      <c r="K14" s="53">
        <v>15882</v>
      </c>
      <c r="L14" s="42">
        <f t="shared" si="3"/>
        <v>8.2321975229803854</v>
      </c>
      <c r="M14" s="44">
        <f t="shared" si="5"/>
        <v>284</v>
      </c>
      <c r="N14" s="45">
        <f t="shared" si="6"/>
        <v>1.8388818891051206E-2</v>
      </c>
      <c r="P14" s="85">
        <f t="shared" si="14"/>
        <v>16231.404</v>
      </c>
      <c r="Q14" s="42">
        <f t="shared" si="4"/>
        <v>8.4133058684859527</v>
      </c>
      <c r="R14" s="61">
        <f t="shared" si="15"/>
        <v>73.04131799999999</v>
      </c>
      <c r="S14" s="61">
        <v>100</v>
      </c>
      <c r="T14" s="61">
        <v>0</v>
      </c>
      <c r="U14" s="144">
        <f t="shared" si="7"/>
        <v>16231.404</v>
      </c>
      <c r="V14" s="146">
        <f t="shared" si="8"/>
        <v>8.4133058684859527</v>
      </c>
      <c r="W14" s="133">
        <f t="shared" si="16"/>
        <v>16231.404</v>
      </c>
      <c r="X14" s="141">
        <f t="shared" si="8"/>
        <v>8.4133058684859527</v>
      </c>
      <c r="Y14" s="147">
        <v>16481.404000000002</v>
      </c>
      <c r="Z14" s="139">
        <v>8.5427257992703023</v>
      </c>
      <c r="AA14" s="150">
        <v>16781.404000000002</v>
      </c>
      <c r="AB14" s="149">
        <f t="shared" si="11"/>
        <v>8.6982233369667927</v>
      </c>
      <c r="AC14" s="150">
        <v>17681</v>
      </c>
      <c r="AD14" s="149">
        <f t="shared" si="12"/>
        <v>9.1645065467054998</v>
      </c>
      <c r="AE14" s="321"/>
      <c r="AF14" s="110"/>
      <c r="AG14" s="351"/>
      <c r="AH14" s="350"/>
      <c r="AI14" s="357"/>
      <c r="AJ14" s="123"/>
      <c r="AK14" s="352"/>
      <c r="AL14" s="352"/>
      <c r="AM14" s="352"/>
      <c r="AN14" s="301"/>
      <c r="AO14" s="126"/>
      <c r="AP14" s="28" t="s">
        <v>56</v>
      </c>
      <c r="AQ14" s="23"/>
      <c r="AR14" s="324"/>
      <c r="AS14" s="324"/>
      <c r="AT14" s="310"/>
      <c r="AU14" s="24"/>
      <c r="AV14" s="50"/>
      <c r="AW14" s="52"/>
    </row>
    <row r="15" spans="1:52" ht="12.75" customHeight="1">
      <c r="A15" s="135">
        <v>15</v>
      </c>
      <c r="B15" s="15">
        <v>15096</v>
      </c>
      <c r="C15" s="15">
        <f t="shared" si="0"/>
        <v>15470</v>
      </c>
      <c r="D15" s="69">
        <f t="shared" si="9"/>
        <v>15849.014999999999</v>
      </c>
      <c r="E15" s="69">
        <f t="shared" si="10"/>
        <v>15895.424999999999</v>
      </c>
      <c r="F15" s="70">
        <v>15895.424999999999</v>
      </c>
      <c r="G15" s="71">
        <f t="shared" si="13"/>
        <v>16054.37925</v>
      </c>
      <c r="H15" s="71">
        <v>16054.37925</v>
      </c>
      <c r="I15" s="71">
        <v>16054.37925</v>
      </c>
      <c r="J15" s="72">
        <v>16054.37925</v>
      </c>
      <c r="K15" s="53">
        <f>J15*1%+J15</f>
        <v>16214.923042500001</v>
      </c>
      <c r="L15" s="42">
        <f t="shared" si="3"/>
        <v>8.4047632102874985</v>
      </c>
      <c r="M15" s="44">
        <f t="shared" si="5"/>
        <v>332.92304250000052</v>
      </c>
      <c r="N15" s="45">
        <f t="shared" si="6"/>
        <v>2.1171031938299147E-2</v>
      </c>
      <c r="P15" s="85">
        <f t="shared" si="14"/>
        <v>16571.651349435</v>
      </c>
      <c r="Q15" s="42">
        <f t="shared" si="4"/>
        <v>8.5896680009138251</v>
      </c>
      <c r="R15" s="61">
        <f t="shared" si="15"/>
        <v>74.572431072457491</v>
      </c>
      <c r="S15" s="61">
        <v>100</v>
      </c>
      <c r="T15" s="61">
        <v>0</v>
      </c>
      <c r="U15" s="144">
        <f t="shared" si="7"/>
        <v>16571.651349435</v>
      </c>
      <c r="V15" s="146">
        <f t="shared" si="8"/>
        <v>8.5896680009138251</v>
      </c>
      <c r="W15" s="133">
        <f t="shared" si="16"/>
        <v>16571.651349435</v>
      </c>
      <c r="X15" s="141">
        <f t="shared" si="8"/>
        <v>8.5896680009138251</v>
      </c>
      <c r="Y15" s="147">
        <v>16771.651349435</v>
      </c>
      <c r="Z15" s="139">
        <v>8.6931682931372212</v>
      </c>
      <c r="AA15" s="150">
        <v>17071.651349435</v>
      </c>
      <c r="AB15" s="149">
        <f t="shared" si="11"/>
        <v>8.8486658308337098</v>
      </c>
      <c r="AC15" s="150">
        <v>17972</v>
      </c>
      <c r="AD15" s="149">
        <f t="shared" si="12"/>
        <v>9.3153391582710956</v>
      </c>
      <c r="AE15" s="321"/>
      <c r="AF15" s="110"/>
      <c r="AG15" s="351"/>
      <c r="AH15" s="350"/>
      <c r="AI15" s="358">
        <v>5.8999999999999997E-2</v>
      </c>
      <c r="AJ15" s="123"/>
      <c r="AK15" s="352"/>
      <c r="AL15" s="352"/>
      <c r="AM15" s="352"/>
      <c r="AN15" s="301"/>
      <c r="AO15" s="303" t="s">
        <v>20</v>
      </c>
      <c r="AP15" s="22"/>
      <c r="AQ15" s="23"/>
      <c r="AR15" s="324"/>
      <c r="AS15" s="324"/>
      <c r="AT15" s="310"/>
      <c r="AU15" s="309" t="s">
        <v>17</v>
      </c>
      <c r="AW15" s="24"/>
    </row>
    <row r="16" spans="1:52" ht="12.75" customHeight="1">
      <c r="A16" s="135">
        <v>16</v>
      </c>
      <c r="B16" s="15">
        <v>15459</v>
      </c>
      <c r="C16" s="15">
        <f t="shared" si="0"/>
        <v>15842</v>
      </c>
      <c r="D16" s="69">
        <f t="shared" si="9"/>
        <v>16230.129000000001</v>
      </c>
      <c r="E16" s="69">
        <f t="shared" si="10"/>
        <v>16277.655000000001</v>
      </c>
      <c r="F16" s="70">
        <v>16277.655000000001</v>
      </c>
      <c r="G16" s="71">
        <f t="shared" si="13"/>
        <v>16440.431550000001</v>
      </c>
      <c r="H16" s="71">
        <v>16440.431550000001</v>
      </c>
      <c r="I16" s="71">
        <v>16440.431550000001</v>
      </c>
      <c r="J16" s="72">
        <v>16440.431550000001</v>
      </c>
      <c r="K16" s="53">
        <v>16604</v>
      </c>
      <c r="L16" s="42">
        <f t="shared" si="3"/>
        <v>8.6064354408491575</v>
      </c>
      <c r="M16" s="44">
        <f t="shared" si="5"/>
        <v>389.07695749999948</v>
      </c>
      <c r="N16" s="45">
        <f t="shared" si="6"/>
        <v>2.4234942469046224E-2</v>
      </c>
      <c r="P16" s="85">
        <f t="shared" si="14"/>
        <v>16969.288</v>
      </c>
      <c r="Q16" s="42">
        <f t="shared" si="4"/>
        <v>8.7957770205478383</v>
      </c>
      <c r="R16" s="61">
        <f t="shared" si="15"/>
        <v>76.361795999999998</v>
      </c>
      <c r="S16" s="61">
        <v>100</v>
      </c>
      <c r="T16" s="61">
        <v>0</v>
      </c>
      <c r="U16" s="144">
        <f t="shared" si="7"/>
        <v>16969.288</v>
      </c>
      <c r="V16" s="146">
        <f t="shared" si="8"/>
        <v>8.7957770205478383</v>
      </c>
      <c r="W16" s="133">
        <f t="shared" si="16"/>
        <v>16969.288</v>
      </c>
      <c r="X16" s="141">
        <f t="shared" si="8"/>
        <v>8.7957770205478383</v>
      </c>
      <c r="Y16" s="147">
        <v>17169.288</v>
      </c>
      <c r="Z16" s="139">
        <v>8.8992733600063438</v>
      </c>
      <c r="AA16" s="150">
        <v>17419.288</v>
      </c>
      <c r="AB16" s="149">
        <f t="shared" si="11"/>
        <v>9.0288546414200876</v>
      </c>
      <c r="AC16" s="150">
        <v>18319</v>
      </c>
      <c r="AD16" s="149">
        <f t="shared" si="12"/>
        <v>9.495197976873369</v>
      </c>
      <c r="AE16" s="321"/>
      <c r="AF16" s="110"/>
      <c r="AG16" s="351"/>
      <c r="AH16" s="350"/>
      <c r="AI16" s="359"/>
      <c r="AJ16" s="123"/>
      <c r="AK16" s="352"/>
      <c r="AL16" s="352"/>
      <c r="AM16" s="352"/>
      <c r="AN16" s="308"/>
      <c r="AO16" s="304"/>
      <c r="AP16" s="22"/>
      <c r="AQ16" s="23"/>
      <c r="AR16" s="325"/>
      <c r="AS16" s="324"/>
      <c r="AT16" s="310"/>
      <c r="AU16" s="310"/>
      <c r="AW16" s="24"/>
    </row>
    <row r="17" spans="1:50">
      <c r="A17" s="135">
        <v>17</v>
      </c>
      <c r="B17" s="15">
        <v>15825</v>
      </c>
      <c r="C17" s="15">
        <f t="shared" si="0"/>
        <v>16217</v>
      </c>
      <c r="D17" s="69">
        <f t="shared" si="9"/>
        <v>16614.316500000001</v>
      </c>
      <c r="E17" s="69">
        <f t="shared" si="10"/>
        <v>16662.967499999999</v>
      </c>
      <c r="F17" s="70">
        <v>16662.967499999999</v>
      </c>
      <c r="G17" s="71">
        <f t="shared" si="13"/>
        <v>16829.597174999999</v>
      </c>
      <c r="H17" s="71">
        <v>16829.597174999999</v>
      </c>
      <c r="I17" s="71">
        <v>16829.597174999999</v>
      </c>
      <c r="J17" s="72">
        <v>16829.597174999999</v>
      </c>
      <c r="K17" s="53">
        <f>J17*1%+J17</f>
        <v>16997.893146750001</v>
      </c>
      <c r="L17" s="42">
        <f t="shared" si="3"/>
        <v>8.8106040711850273</v>
      </c>
      <c r="M17" s="44">
        <f t="shared" si="5"/>
        <v>393.8931467500006</v>
      </c>
      <c r="N17" s="45">
        <f t="shared" si="6"/>
        <v>2.3958808231527268E-2</v>
      </c>
      <c r="P17" s="85">
        <f t="shared" si="14"/>
        <v>17371.846795978501</v>
      </c>
      <c r="Q17" s="42">
        <f t="shared" si="4"/>
        <v>9.0044373607510977</v>
      </c>
      <c r="R17" s="61">
        <f t="shared" si="15"/>
        <v>78.173310581903252</v>
      </c>
      <c r="S17" s="61">
        <v>100</v>
      </c>
      <c r="T17" s="61">
        <v>0</v>
      </c>
      <c r="U17" s="144">
        <f t="shared" si="7"/>
        <v>17371.846795978501</v>
      </c>
      <c r="V17" s="146">
        <f t="shared" si="8"/>
        <v>9.0044373607510977</v>
      </c>
      <c r="W17" s="133">
        <f t="shared" si="16"/>
        <v>17371.846795978501</v>
      </c>
      <c r="X17" s="141">
        <f t="shared" si="8"/>
        <v>9.0044373607510977</v>
      </c>
      <c r="Y17" s="147">
        <v>17547</v>
      </c>
      <c r="Z17" s="139">
        <v>9.0950509798677341</v>
      </c>
      <c r="AA17" s="150">
        <v>17772</v>
      </c>
      <c r="AB17" s="149">
        <f t="shared" si="11"/>
        <v>9.211674133140102</v>
      </c>
      <c r="AC17" s="150">
        <v>18672</v>
      </c>
      <c r="AD17" s="149">
        <f t="shared" si="12"/>
        <v>9.6781667462295733</v>
      </c>
      <c r="AE17" s="321"/>
      <c r="AF17" s="110"/>
      <c r="AG17" s="351"/>
      <c r="AH17" s="350"/>
      <c r="AI17" s="359"/>
      <c r="AJ17" s="123"/>
      <c r="AK17" s="352"/>
      <c r="AL17" s="352"/>
      <c r="AM17" s="352"/>
      <c r="AN17" s="126"/>
      <c r="AO17" s="304"/>
      <c r="AP17" s="29"/>
      <c r="AQ17" s="23"/>
      <c r="AR17" s="24"/>
      <c r="AS17" s="324"/>
      <c r="AT17" s="310"/>
      <c r="AU17" s="310"/>
      <c r="AW17" s="24"/>
    </row>
    <row r="18" spans="1:50">
      <c r="A18" s="135">
        <v>18</v>
      </c>
      <c r="B18" s="15">
        <v>16137</v>
      </c>
      <c r="C18" s="15">
        <f t="shared" si="0"/>
        <v>16536</v>
      </c>
      <c r="D18" s="69">
        <f t="shared" si="9"/>
        <v>16941.132000000001</v>
      </c>
      <c r="E18" s="69">
        <f t="shared" si="10"/>
        <v>16990.740000000002</v>
      </c>
      <c r="F18" s="70">
        <v>16990.740000000002</v>
      </c>
      <c r="G18" s="71">
        <f t="shared" si="13"/>
        <v>17160.647400000002</v>
      </c>
      <c r="H18" s="71">
        <v>17160.647400000002</v>
      </c>
      <c r="I18" s="71">
        <v>17160.647400000002</v>
      </c>
      <c r="J18" s="72">
        <v>17160.647400000002</v>
      </c>
      <c r="K18" s="53">
        <v>17333</v>
      </c>
      <c r="L18" s="42">
        <f t="shared" si="3"/>
        <v>8.9843017041820303</v>
      </c>
      <c r="M18" s="44">
        <f t="shared" si="5"/>
        <v>335.1068532499994</v>
      </c>
      <c r="N18" s="45">
        <f t="shared" si="6"/>
        <v>1.9911757231349147E-2</v>
      </c>
      <c r="P18" s="85">
        <f t="shared" si="14"/>
        <v>17714.326000000001</v>
      </c>
      <c r="Q18" s="42">
        <f t="shared" si="4"/>
        <v>9.1819563416740344</v>
      </c>
      <c r="R18" s="61">
        <f t="shared" si="15"/>
        <v>79.714466999999999</v>
      </c>
      <c r="S18" s="61">
        <v>100</v>
      </c>
      <c r="T18" s="61">
        <v>0</v>
      </c>
      <c r="U18" s="144">
        <f t="shared" si="7"/>
        <v>17714.326000000001</v>
      </c>
      <c r="V18" s="146">
        <f t="shared" si="8"/>
        <v>9.1819563416740344</v>
      </c>
      <c r="W18" s="133">
        <f t="shared" si="16"/>
        <v>17714.326000000001</v>
      </c>
      <c r="X18" s="141">
        <f t="shared" si="8"/>
        <v>9.1819563416740344</v>
      </c>
      <c r="Y18" s="147">
        <v>17891.469260000002</v>
      </c>
      <c r="Z18" s="139">
        <v>9.2735980523415087</v>
      </c>
      <c r="AA18" s="150">
        <v>18070.383952600001</v>
      </c>
      <c r="AB18" s="149">
        <f t="shared" si="11"/>
        <v>9.3663340328649234</v>
      </c>
      <c r="AC18" s="150">
        <v>18870</v>
      </c>
      <c r="AD18" s="149">
        <f t="shared" si="12"/>
        <v>9.7807951211092572</v>
      </c>
      <c r="AE18" s="321"/>
      <c r="AF18" s="110"/>
      <c r="AG18" s="351"/>
      <c r="AH18" s="350"/>
      <c r="AI18" s="359"/>
      <c r="AJ18" s="123"/>
      <c r="AK18" s="352"/>
      <c r="AL18" s="352"/>
      <c r="AM18" s="352"/>
      <c r="AN18" s="126"/>
      <c r="AO18" s="304"/>
      <c r="AP18" s="23"/>
      <c r="AQ18" s="28" t="s">
        <v>57</v>
      </c>
      <c r="AR18" s="24"/>
      <c r="AS18" s="324"/>
      <c r="AT18" s="310"/>
      <c r="AU18" s="310"/>
      <c r="AW18" s="24"/>
    </row>
    <row r="19" spans="1:50" ht="12.75" customHeight="1">
      <c r="A19" s="135">
        <v>19</v>
      </c>
      <c r="B19" s="15">
        <v>16740</v>
      </c>
      <c r="C19" s="15">
        <f t="shared" si="0"/>
        <v>17154</v>
      </c>
      <c r="D19" s="69">
        <f t="shared" si="9"/>
        <v>17574.273000000001</v>
      </c>
      <c r="E19" s="69">
        <f t="shared" si="10"/>
        <v>17625.735000000001</v>
      </c>
      <c r="F19" s="70">
        <v>17625.735000000001</v>
      </c>
      <c r="G19" s="71">
        <f t="shared" si="13"/>
        <v>17801.99235</v>
      </c>
      <c r="H19" s="71">
        <v>17801.99235</v>
      </c>
      <c r="I19" s="71">
        <v>17801.99235</v>
      </c>
      <c r="J19" s="72">
        <v>17801.99235</v>
      </c>
      <c r="K19" s="53">
        <f>J19*1%+J19</f>
        <v>17980.0122735</v>
      </c>
      <c r="L19" s="42">
        <f t="shared" si="3"/>
        <v>9.3196708538637214</v>
      </c>
      <c r="M19" s="44">
        <f t="shared" si="5"/>
        <v>647.01227350000045</v>
      </c>
      <c r="N19" s="45">
        <f t="shared" si="6"/>
        <v>3.7703255501887439E-2</v>
      </c>
      <c r="P19" s="85">
        <f t="shared" si="14"/>
        <v>18375.572543517002</v>
      </c>
      <c r="Q19" s="42">
        <f t="shared" si="4"/>
        <v>9.5247036126487234</v>
      </c>
      <c r="R19" s="61">
        <f t="shared" si="15"/>
        <v>82.690076445826506</v>
      </c>
      <c r="S19" s="61">
        <v>100</v>
      </c>
      <c r="T19" s="61">
        <v>0</v>
      </c>
      <c r="U19" s="144">
        <f t="shared" si="7"/>
        <v>18375.572543517002</v>
      </c>
      <c r="V19" s="146">
        <f t="shared" si="8"/>
        <v>9.5247036126487234</v>
      </c>
      <c r="W19" s="133">
        <f t="shared" si="16"/>
        <v>18375.572543517002</v>
      </c>
      <c r="X19" s="141">
        <f t="shared" si="8"/>
        <v>9.5247036126487234</v>
      </c>
      <c r="Y19" s="147">
        <v>18560</v>
      </c>
      <c r="Z19" s="139">
        <v>9.6201143321562164</v>
      </c>
      <c r="AA19" s="150">
        <v>18745.599999999999</v>
      </c>
      <c r="AB19" s="149">
        <f t="shared" si="11"/>
        <v>9.7163154754777779</v>
      </c>
      <c r="AC19" s="150">
        <v>19446</v>
      </c>
      <c r="AD19" s="149">
        <f t="shared" si="12"/>
        <v>10.07935039348652</v>
      </c>
      <c r="AE19" s="321"/>
      <c r="AF19" s="110"/>
      <c r="AG19" s="351"/>
      <c r="AH19" s="350"/>
      <c r="AI19" s="359"/>
      <c r="AJ19" s="123">
        <v>5.8000000000000003E-2</v>
      </c>
      <c r="AK19" s="352"/>
      <c r="AL19" s="352"/>
      <c r="AM19" s="352"/>
      <c r="AN19" s="300" t="s">
        <v>21</v>
      </c>
      <c r="AO19" s="305"/>
      <c r="AP19" s="23"/>
      <c r="AQ19" s="22"/>
      <c r="AS19" s="324"/>
      <c r="AT19" s="310"/>
      <c r="AU19" s="311"/>
      <c r="AW19" s="24"/>
    </row>
    <row r="20" spans="1:50">
      <c r="A20" s="135">
        <v>20</v>
      </c>
      <c r="B20" s="15">
        <v>17352</v>
      </c>
      <c r="C20" s="15">
        <f t="shared" si="0"/>
        <v>17781</v>
      </c>
      <c r="D20" s="69">
        <f t="shared" si="9"/>
        <v>18216.6345</v>
      </c>
      <c r="E20" s="69">
        <f t="shared" si="10"/>
        <v>18269.977500000001</v>
      </c>
      <c r="F20" s="70">
        <v>18269.977500000001</v>
      </c>
      <c r="G20" s="71">
        <f t="shared" si="13"/>
        <v>18452.677275000002</v>
      </c>
      <c r="H20" s="71">
        <v>18452.677275000002</v>
      </c>
      <c r="I20" s="71">
        <v>18452.677275000002</v>
      </c>
      <c r="J20" s="72">
        <v>18452.677275000002</v>
      </c>
      <c r="K20" s="53">
        <v>18638</v>
      </c>
      <c r="L20" s="42">
        <f t="shared" si="3"/>
        <v>9.6607289657038411</v>
      </c>
      <c r="M20" s="44">
        <f t="shared" si="5"/>
        <v>657.98772649999955</v>
      </c>
      <c r="N20" s="45">
        <f t="shared" si="6"/>
        <v>3.6961465523829388E-2</v>
      </c>
      <c r="P20" s="85">
        <f t="shared" si="14"/>
        <v>19048.036</v>
      </c>
      <c r="Q20" s="42">
        <f t="shared" si="4"/>
        <v>9.8732650029493261</v>
      </c>
      <c r="R20" s="61">
        <f t="shared" si="15"/>
        <v>85.716161999999997</v>
      </c>
      <c r="S20" s="61">
        <v>100</v>
      </c>
      <c r="T20" s="61">
        <v>0</v>
      </c>
      <c r="U20" s="144">
        <f t="shared" si="7"/>
        <v>19048.036</v>
      </c>
      <c r="V20" s="146">
        <f t="shared" si="8"/>
        <v>9.8732650029493261</v>
      </c>
      <c r="W20" s="133">
        <f t="shared" si="16"/>
        <v>19048.036</v>
      </c>
      <c r="X20" s="141">
        <f t="shared" si="8"/>
        <v>9.8732650029493261</v>
      </c>
      <c r="Y20" s="147">
        <v>19238</v>
      </c>
      <c r="Z20" s="139">
        <v>9.9715387673502853</v>
      </c>
      <c r="AA20" s="150">
        <v>19430.38</v>
      </c>
      <c r="AB20" s="149">
        <f t="shared" si="11"/>
        <v>10.071254155023789</v>
      </c>
      <c r="AC20" s="150">
        <v>19819</v>
      </c>
      <c r="AD20" s="149">
        <f t="shared" si="12"/>
        <v>10.272685665355823</v>
      </c>
      <c r="AE20" s="321"/>
      <c r="AF20" s="110"/>
      <c r="AG20" s="351"/>
      <c r="AH20" s="350"/>
      <c r="AI20" s="359"/>
      <c r="AJ20" s="123"/>
      <c r="AK20" s="352"/>
      <c r="AL20" s="352"/>
      <c r="AM20" s="352"/>
      <c r="AN20" s="301"/>
      <c r="AO20" s="126"/>
      <c r="AP20" s="23"/>
      <c r="AQ20" s="22"/>
      <c r="AR20" s="24"/>
      <c r="AS20" s="324"/>
      <c r="AT20" s="310"/>
      <c r="AU20" s="24"/>
    </row>
    <row r="21" spans="1:50">
      <c r="A21" s="135">
        <v>21</v>
      </c>
      <c r="B21" s="15">
        <v>17985</v>
      </c>
      <c r="C21" s="15">
        <f t="shared" si="0"/>
        <v>18430</v>
      </c>
      <c r="D21" s="69">
        <f t="shared" si="9"/>
        <v>18881.535</v>
      </c>
      <c r="E21" s="69">
        <f t="shared" si="10"/>
        <v>18936.825000000001</v>
      </c>
      <c r="F21" s="70">
        <v>18936.825000000001</v>
      </c>
      <c r="G21" s="71">
        <f t="shared" si="13"/>
        <v>19126.19325</v>
      </c>
      <c r="H21" s="71">
        <v>19126.19325</v>
      </c>
      <c r="I21" s="71">
        <v>19126.19325</v>
      </c>
      <c r="J21" s="72">
        <v>19126.19325</v>
      </c>
      <c r="K21" s="53">
        <f t="shared" ref="K21:K26" si="17">J21*1%+J21</f>
        <v>19317.455182500002</v>
      </c>
      <c r="L21" s="42">
        <f t="shared" si="3"/>
        <v>10.01291441277302</v>
      </c>
      <c r="M21" s="44">
        <f t="shared" si="5"/>
        <v>679.45518250000168</v>
      </c>
      <c r="N21" s="45">
        <f t="shared" si="6"/>
        <v>3.6821496001587746E-2</v>
      </c>
      <c r="P21" s="85">
        <f t="shared" si="14"/>
        <v>19742.439196515003</v>
      </c>
      <c r="Q21" s="42">
        <f t="shared" si="4"/>
        <v>10.233198529854027</v>
      </c>
      <c r="R21" s="61">
        <f t="shared" si="15"/>
        <v>88.8409763843175</v>
      </c>
      <c r="S21" s="61">
        <v>100</v>
      </c>
      <c r="T21" s="61">
        <v>0</v>
      </c>
      <c r="U21" s="144">
        <f t="shared" si="7"/>
        <v>19742.439196515003</v>
      </c>
      <c r="V21" s="146">
        <f t="shared" si="8"/>
        <v>10.233198529854027</v>
      </c>
      <c r="W21" s="133">
        <f t="shared" si="16"/>
        <v>19742.439196515003</v>
      </c>
      <c r="X21" s="141">
        <f t="shared" si="8"/>
        <v>10.233198529854027</v>
      </c>
      <c r="Y21" s="147">
        <v>19939</v>
      </c>
      <c r="Z21" s="139">
        <v>10.34</v>
      </c>
      <c r="AA21" s="150">
        <v>20138.39</v>
      </c>
      <c r="AB21" s="149">
        <f t="shared" si="11"/>
        <v>10.438233527238761</v>
      </c>
      <c r="AC21" s="150">
        <v>20541</v>
      </c>
      <c r="AD21" s="149">
        <f t="shared" si="12"/>
        <v>10.646916406078709</v>
      </c>
      <c r="AE21" s="321"/>
      <c r="AF21" s="110"/>
      <c r="AG21" s="351"/>
      <c r="AH21" s="350"/>
      <c r="AI21" s="359"/>
      <c r="AJ21" s="123"/>
      <c r="AK21" s="352"/>
      <c r="AL21" s="352"/>
      <c r="AM21" s="352"/>
      <c r="AN21" s="301"/>
      <c r="AO21" s="126"/>
      <c r="AP21" s="23"/>
      <c r="AQ21" s="29"/>
      <c r="AR21" s="24"/>
      <c r="AS21" s="324"/>
      <c r="AT21" s="310"/>
      <c r="AU21" s="24"/>
    </row>
    <row r="22" spans="1:50" ht="12.75" customHeight="1">
      <c r="A22" s="135">
        <v>22</v>
      </c>
      <c r="B22" s="15">
        <v>18450</v>
      </c>
      <c r="C22" s="15">
        <f t="shared" si="0"/>
        <v>18907</v>
      </c>
      <c r="D22" s="69">
        <f t="shared" si="9"/>
        <v>19370.2215</v>
      </c>
      <c r="E22" s="69">
        <f t="shared" si="10"/>
        <v>19426.942500000001</v>
      </c>
      <c r="F22" s="70">
        <v>19426.942500000001</v>
      </c>
      <c r="G22" s="71">
        <f t="shared" si="13"/>
        <v>19621.211925</v>
      </c>
      <c r="H22" s="71">
        <v>19621.211925</v>
      </c>
      <c r="I22" s="71">
        <v>19621.211925</v>
      </c>
      <c r="J22" s="72">
        <v>19621.211925</v>
      </c>
      <c r="K22" s="53">
        <f t="shared" si="17"/>
        <v>19817.424044250001</v>
      </c>
      <c r="L22" s="42">
        <f t="shared" si="3"/>
        <v>10.272065805876261</v>
      </c>
      <c r="M22" s="44">
        <f t="shared" si="5"/>
        <v>499.96886174999963</v>
      </c>
      <c r="N22" s="45">
        <f t="shared" si="6"/>
        <v>2.6140531741725429E-2</v>
      </c>
      <c r="P22" s="85">
        <f t="shared" si="14"/>
        <v>20253.407373223501</v>
      </c>
      <c r="Q22" s="42">
        <f t="shared" si="4"/>
        <v>10.498051253605539</v>
      </c>
      <c r="R22" s="61">
        <f t="shared" si="15"/>
        <v>91.140333179505745</v>
      </c>
      <c r="S22" s="61">
        <v>100</v>
      </c>
      <c r="T22" s="61">
        <v>0</v>
      </c>
      <c r="U22" s="144">
        <f t="shared" si="7"/>
        <v>20253.407373223501</v>
      </c>
      <c r="V22" s="146">
        <f t="shared" si="8"/>
        <v>10.498051253605539</v>
      </c>
      <c r="W22" s="133">
        <f t="shared" si="16"/>
        <v>20253.407373223501</v>
      </c>
      <c r="X22" s="141">
        <f t="shared" si="8"/>
        <v>10.498051253605539</v>
      </c>
      <c r="Y22" s="147">
        <v>20455.941446955738</v>
      </c>
      <c r="Z22" s="139">
        <v>10.602828420884013</v>
      </c>
      <c r="AA22" s="150">
        <v>20660.500861425295</v>
      </c>
      <c r="AB22" s="149">
        <f t="shared" si="11"/>
        <v>10.708856705092852</v>
      </c>
      <c r="AC22" s="150">
        <v>21074</v>
      </c>
      <c r="AD22" s="149">
        <f t="shared" si="12"/>
        <v>10.923183698052808</v>
      </c>
      <c r="AE22" s="321"/>
      <c r="AF22" s="110"/>
      <c r="AG22" s="351"/>
      <c r="AH22" s="350"/>
      <c r="AI22" s="359"/>
      <c r="AJ22" s="123"/>
      <c r="AK22" s="352"/>
      <c r="AL22" s="352"/>
      <c r="AM22" s="352"/>
      <c r="AN22" s="308"/>
      <c r="AO22" s="312" t="s">
        <v>22</v>
      </c>
      <c r="AP22" s="28" t="s">
        <v>58</v>
      </c>
      <c r="AQ22" s="23"/>
      <c r="AR22" s="309" t="s">
        <v>7</v>
      </c>
      <c r="AS22" s="325"/>
      <c r="AT22" s="311"/>
      <c r="AU22" s="24"/>
    </row>
    <row r="23" spans="1:50">
      <c r="A23" s="135">
        <v>23</v>
      </c>
      <c r="B23" s="15">
        <v>18993</v>
      </c>
      <c r="C23" s="15">
        <f t="shared" si="0"/>
        <v>19463</v>
      </c>
      <c r="D23" s="69">
        <f t="shared" si="9"/>
        <v>19939.843499999999</v>
      </c>
      <c r="E23" s="69">
        <f t="shared" si="10"/>
        <v>19998.232499999998</v>
      </c>
      <c r="F23" s="70">
        <v>19998.232499999998</v>
      </c>
      <c r="G23" s="71">
        <f t="shared" si="13"/>
        <v>20198.214824999999</v>
      </c>
      <c r="H23" s="71">
        <v>20198.214824999999</v>
      </c>
      <c r="I23" s="71">
        <v>20198.214824999999</v>
      </c>
      <c r="J23" s="72">
        <v>20198.214824999999</v>
      </c>
      <c r="K23" s="53">
        <f t="shared" si="17"/>
        <v>20400.19697325</v>
      </c>
      <c r="L23" s="42">
        <f t="shared" si="3"/>
        <v>10.574137450667459</v>
      </c>
      <c r="M23" s="44">
        <f t="shared" si="5"/>
        <v>582.77292899999884</v>
      </c>
      <c r="N23" s="45">
        <f t="shared" si="6"/>
        <v>2.9701168879251012E-2</v>
      </c>
      <c r="P23" s="85">
        <f t="shared" si="14"/>
        <v>20849.001306661499</v>
      </c>
      <c r="Q23" s="42">
        <f t="shared" si="4"/>
        <v>10.806768474582142</v>
      </c>
      <c r="R23" s="61">
        <f t="shared" si="15"/>
        <v>93.820505879976736</v>
      </c>
      <c r="S23" s="61">
        <v>100</v>
      </c>
      <c r="T23" s="61">
        <v>0</v>
      </c>
      <c r="U23" s="144">
        <f t="shared" si="7"/>
        <v>20849.001306661499</v>
      </c>
      <c r="V23" s="146">
        <f t="shared" si="8"/>
        <v>10.806768474582142</v>
      </c>
      <c r="W23" s="133">
        <f t="shared" si="16"/>
        <v>20849.001306661499</v>
      </c>
      <c r="X23" s="141">
        <f t="shared" si="8"/>
        <v>10.806768474582142</v>
      </c>
      <c r="Y23" s="147">
        <v>21057.491319728113</v>
      </c>
      <c r="Z23" s="139">
        <v>10.914626834276485</v>
      </c>
      <c r="AA23" s="150">
        <v>21268.066232925394</v>
      </c>
      <c r="AB23" s="149">
        <f t="shared" si="11"/>
        <v>11.023773102619248</v>
      </c>
      <c r="AC23" s="150">
        <v>21693</v>
      </c>
      <c r="AD23" s="149">
        <f t="shared" si="12"/>
        <v>11.244026950833234</v>
      </c>
      <c r="AE23" s="321"/>
      <c r="AF23" s="110"/>
      <c r="AG23" s="351"/>
      <c r="AH23" s="350"/>
      <c r="AI23" s="359"/>
      <c r="AJ23" s="124"/>
      <c r="AK23" s="353"/>
      <c r="AL23" s="352"/>
      <c r="AM23" s="353"/>
      <c r="AN23" s="126"/>
      <c r="AO23" s="313"/>
      <c r="AP23" s="22"/>
      <c r="AQ23" s="23"/>
      <c r="AR23" s="310"/>
      <c r="AS23" s="24"/>
      <c r="AT23" s="24"/>
      <c r="AU23" s="24"/>
    </row>
    <row r="24" spans="1:50" ht="12.75" customHeight="1">
      <c r="A24" s="135">
        <v>24</v>
      </c>
      <c r="B24" s="15">
        <v>19614</v>
      </c>
      <c r="C24" s="15">
        <f t="shared" si="0"/>
        <v>20099</v>
      </c>
      <c r="D24" s="69">
        <f t="shared" si="9"/>
        <v>20591.425500000001</v>
      </c>
      <c r="E24" s="69">
        <f t="shared" si="10"/>
        <v>20651.7225</v>
      </c>
      <c r="F24" s="70">
        <v>20651.7225</v>
      </c>
      <c r="G24" s="71">
        <f t="shared" si="13"/>
        <v>20858.239724999999</v>
      </c>
      <c r="H24" s="71">
        <v>20858.239724999999</v>
      </c>
      <c r="I24" s="71">
        <v>20858.239724999999</v>
      </c>
      <c r="J24" s="72">
        <v>20858.239724999999</v>
      </c>
      <c r="K24" s="53">
        <f t="shared" si="17"/>
        <v>21066.82212225</v>
      </c>
      <c r="L24" s="42">
        <f t="shared" si="3"/>
        <v>10.919672641471781</v>
      </c>
      <c r="M24" s="44">
        <f t="shared" si="5"/>
        <v>666.62514899999951</v>
      </c>
      <c r="N24" s="45">
        <f t="shared" si="6"/>
        <v>3.3004161742793997E-2</v>
      </c>
      <c r="P24" s="85">
        <f t="shared" si="14"/>
        <v>21530.2922089395</v>
      </c>
      <c r="Q24" s="42">
        <f t="shared" si="4"/>
        <v>11.159905439584159</v>
      </c>
      <c r="R24" s="61">
        <f t="shared" si="15"/>
        <v>96.886314940227734</v>
      </c>
      <c r="S24" s="61">
        <v>100</v>
      </c>
      <c r="T24" s="61">
        <v>0</v>
      </c>
      <c r="U24" s="144">
        <f t="shared" si="7"/>
        <v>21530.2922089395</v>
      </c>
      <c r="V24" s="146">
        <f t="shared" si="8"/>
        <v>11.159905439584159</v>
      </c>
      <c r="W24" s="133">
        <f t="shared" si="16"/>
        <v>21530.2922089395</v>
      </c>
      <c r="X24" s="141">
        <f t="shared" si="8"/>
        <v>11.159905439584159</v>
      </c>
      <c r="Y24" s="147">
        <v>21745</v>
      </c>
      <c r="Z24" s="139">
        <v>11.270979857367291</v>
      </c>
      <c r="AA24" s="150">
        <v>21962.45</v>
      </c>
      <c r="AB24" s="149">
        <f t="shared" si="11"/>
        <v>11.383689655940966</v>
      </c>
      <c r="AC24" s="150">
        <v>22401</v>
      </c>
      <c r="AD24" s="149">
        <f t="shared" si="12"/>
        <v>11.611001139796951</v>
      </c>
      <c r="AE24" s="321"/>
      <c r="AF24" s="110"/>
      <c r="AG24" s="351"/>
      <c r="AH24" s="350"/>
      <c r="AI24" s="257">
        <v>6.5000000000000002E-2</v>
      </c>
      <c r="AJ24" s="257">
        <v>6.5000000000000002E-2</v>
      </c>
      <c r="AK24" s="257">
        <v>6.5000000000000002E-2</v>
      </c>
      <c r="AL24" s="258">
        <v>6.5000000000000002E-2</v>
      </c>
      <c r="AM24" s="342">
        <v>6.5000000000000002E-2</v>
      </c>
      <c r="AN24" s="126"/>
      <c r="AO24" s="313"/>
      <c r="AP24" s="22"/>
      <c r="AQ24" s="23"/>
      <c r="AR24" s="310"/>
      <c r="AS24" s="24"/>
      <c r="AT24" s="24"/>
      <c r="AU24" s="24"/>
    </row>
    <row r="25" spans="1:50" ht="12.75" customHeight="1">
      <c r="A25" s="135">
        <v>25</v>
      </c>
      <c r="B25" s="15">
        <v>20235</v>
      </c>
      <c r="C25" s="15">
        <f t="shared" si="0"/>
        <v>20736</v>
      </c>
      <c r="D25" s="69">
        <f t="shared" si="9"/>
        <v>21244.031999999999</v>
      </c>
      <c r="E25" s="69">
        <f t="shared" si="10"/>
        <v>21306.240000000002</v>
      </c>
      <c r="F25" s="70">
        <v>21306.240000000002</v>
      </c>
      <c r="G25" s="71">
        <f t="shared" si="13"/>
        <v>21519.3024</v>
      </c>
      <c r="H25" s="71">
        <v>21519.3024</v>
      </c>
      <c r="I25" s="71">
        <v>21519.3024</v>
      </c>
      <c r="J25" s="72">
        <v>21519.3024</v>
      </c>
      <c r="K25" s="53">
        <f t="shared" si="17"/>
        <v>21734.495424000001</v>
      </c>
      <c r="L25" s="42">
        <f t="shared" si="3"/>
        <v>11.265751126601266</v>
      </c>
      <c r="M25" s="44">
        <f t="shared" si="5"/>
        <v>667.67330175000097</v>
      </c>
      <c r="N25" s="45">
        <f t="shared" si="6"/>
        <v>3.2010050251256326E-2</v>
      </c>
      <c r="P25" s="85">
        <f t="shared" si="14"/>
        <v>22212.654323328003</v>
      </c>
      <c r="Q25" s="42">
        <f t="shared" si="4"/>
        <v>11.513597651386494</v>
      </c>
      <c r="R25" s="61">
        <f t="shared" si="15"/>
        <v>99.956944454976011</v>
      </c>
      <c r="S25" s="61">
        <v>100</v>
      </c>
      <c r="T25" s="61">
        <v>0</v>
      </c>
      <c r="U25" s="144">
        <f t="shared" si="7"/>
        <v>22212.654323328003</v>
      </c>
      <c r="V25" s="146">
        <f t="shared" si="8"/>
        <v>11.513597651386494</v>
      </c>
      <c r="W25" s="133">
        <f t="shared" si="16"/>
        <v>22212.654323328003</v>
      </c>
      <c r="X25" s="141">
        <f t="shared" si="8"/>
        <v>11.513597651386494</v>
      </c>
      <c r="Y25" s="147">
        <v>22434</v>
      </c>
      <c r="Z25" s="139">
        <v>11.628105868943566</v>
      </c>
      <c r="AA25" s="150">
        <v>22658.34</v>
      </c>
      <c r="AB25" s="149">
        <f t="shared" si="11"/>
        <v>11.744386927633</v>
      </c>
      <c r="AC25" s="150">
        <v>23111</v>
      </c>
      <c r="AD25" s="149">
        <f t="shared" si="12"/>
        <v>11.979011979011979</v>
      </c>
      <c r="AE25" s="321"/>
      <c r="AF25" s="110"/>
      <c r="AG25" s="351"/>
      <c r="AH25" s="350"/>
      <c r="AI25" s="292"/>
      <c r="AJ25" s="258"/>
      <c r="AK25" s="258"/>
      <c r="AL25" s="258"/>
      <c r="AM25" s="342"/>
      <c r="AN25" s="300" t="s">
        <v>23</v>
      </c>
      <c r="AO25" s="313"/>
      <c r="AP25" s="29"/>
      <c r="AQ25" s="23"/>
      <c r="AR25" s="310"/>
      <c r="AS25" s="309" t="s">
        <v>9</v>
      </c>
      <c r="AT25" s="309" t="s">
        <v>16</v>
      </c>
      <c r="AU25" s="24"/>
      <c r="AX25" s="74"/>
    </row>
    <row r="26" spans="1:50">
      <c r="A26" s="135">
        <v>26</v>
      </c>
      <c r="B26" s="15">
        <v>20895</v>
      </c>
      <c r="C26" s="15">
        <f t="shared" si="0"/>
        <v>21412</v>
      </c>
      <c r="D26" s="69">
        <f t="shared" si="9"/>
        <v>21936.594000000001</v>
      </c>
      <c r="E26" s="69">
        <f t="shared" si="10"/>
        <v>22000.83</v>
      </c>
      <c r="F26" s="70">
        <v>22000.83</v>
      </c>
      <c r="G26" s="71">
        <f t="shared" si="13"/>
        <v>22220.838300000003</v>
      </c>
      <c r="H26" s="71">
        <v>22220.838300000003</v>
      </c>
      <c r="I26" s="71">
        <v>22220.838300000003</v>
      </c>
      <c r="J26" s="72">
        <v>22220.838300000003</v>
      </c>
      <c r="K26" s="53">
        <f t="shared" si="17"/>
        <v>22443.046683000004</v>
      </c>
      <c r="L26" s="42">
        <f t="shared" si="3"/>
        <v>11.633018090412151</v>
      </c>
      <c r="M26" s="44">
        <f t="shared" si="5"/>
        <v>708.55125900000348</v>
      </c>
      <c r="N26" s="45">
        <f t="shared" si="6"/>
        <v>3.2926311728395226E-2</v>
      </c>
      <c r="P26" s="85">
        <f t="shared" si="14"/>
        <v>22936.793710026006</v>
      </c>
      <c r="Q26" s="42">
        <f t="shared" si="4"/>
        <v>11.888944488401219</v>
      </c>
      <c r="R26" s="61">
        <f t="shared" si="15"/>
        <v>103.21557169511702</v>
      </c>
      <c r="S26" s="61">
        <v>100</v>
      </c>
      <c r="T26" s="61">
        <f t="shared" ref="T26:T49" si="18">SUM(R26-S26)</f>
        <v>3.2155716951170206</v>
      </c>
      <c r="U26" s="144">
        <f t="shared" si="7"/>
        <v>22936.793710026006</v>
      </c>
      <c r="V26" s="146">
        <f t="shared" si="8"/>
        <v>11.888944488401219</v>
      </c>
      <c r="W26" s="133">
        <f t="shared" si="16"/>
        <v>22936.793710026006</v>
      </c>
      <c r="X26" s="141">
        <f t="shared" si="8"/>
        <v>11.888944488401219</v>
      </c>
      <c r="Y26" s="147">
        <v>23166.161647126268</v>
      </c>
      <c r="Z26" s="139">
        <v>12.007603646690036</v>
      </c>
      <c r="AA26" s="150">
        <v>23397.823263597529</v>
      </c>
      <c r="AB26" s="149">
        <f t="shared" si="11"/>
        <v>12.127679683156936</v>
      </c>
      <c r="AC26" s="150">
        <v>23866</v>
      </c>
      <c r="AD26" s="149">
        <f t="shared" si="12"/>
        <v>12.37034744888148</v>
      </c>
      <c r="AE26" s="321"/>
      <c r="AF26" s="110"/>
      <c r="AG26" s="351"/>
      <c r="AH26" s="350"/>
      <c r="AI26" s="292"/>
      <c r="AJ26" s="258"/>
      <c r="AK26" s="258"/>
      <c r="AL26" s="258"/>
      <c r="AM26" s="342"/>
      <c r="AN26" s="322"/>
      <c r="AO26" s="126"/>
      <c r="AP26" s="23"/>
      <c r="AQ26" s="28" t="s">
        <v>59</v>
      </c>
      <c r="AR26" s="310"/>
      <c r="AS26" s="310"/>
      <c r="AT26" s="310"/>
      <c r="AU26" s="24"/>
    </row>
    <row r="27" spans="1:50">
      <c r="A27" s="135">
        <v>27</v>
      </c>
      <c r="B27" s="15">
        <v>21588</v>
      </c>
      <c r="C27" s="15">
        <f t="shared" si="0"/>
        <v>22122</v>
      </c>
      <c r="D27" s="69">
        <f t="shared" si="9"/>
        <v>22663.989000000001</v>
      </c>
      <c r="E27" s="69">
        <f t="shared" si="10"/>
        <v>22730.355</v>
      </c>
      <c r="F27" s="70">
        <v>22730.355</v>
      </c>
      <c r="G27" s="71">
        <f t="shared" si="13"/>
        <v>22957.65855</v>
      </c>
      <c r="H27" s="71">
        <v>22957.65855</v>
      </c>
      <c r="I27" s="71">
        <v>22957.65855</v>
      </c>
      <c r="J27" s="72">
        <v>22957.65855</v>
      </c>
      <c r="K27" s="53">
        <v>23188</v>
      </c>
      <c r="L27" s="42">
        <f t="shared" si="3"/>
        <v>12.019153517369926</v>
      </c>
      <c r="M27" s="44">
        <f t="shared" si="5"/>
        <v>744.95331699999588</v>
      </c>
      <c r="N27" s="45">
        <f t="shared" si="6"/>
        <v>3.3524987083857941E-2</v>
      </c>
      <c r="P27" s="85">
        <f t="shared" si="14"/>
        <v>23698.136000000002</v>
      </c>
      <c r="Q27" s="42">
        <f t="shared" si="4"/>
        <v>12.283574894752066</v>
      </c>
      <c r="R27" s="61">
        <f t="shared" si="15"/>
        <v>106.64161199999999</v>
      </c>
      <c r="S27" s="61">
        <v>100</v>
      </c>
      <c r="T27" s="61">
        <f t="shared" si="18"/>
        <v>6.641611999999995</v>
      </c>
      <c r="U27" s="144">
        <f t="shared" si="7"/>
        <v>23698.136000000002</v>
      </c>
      <c r="V27" s="146">
        <f t="shared" si="8"/>
        <v>12.283574894752066</v>
      </c>
      <c r="W27" s="133">
        <f t="shared" si="16"/>
        <v>23698.136000000002</v>
      </c>
      <c r="X27" s="141">
        <f t="shared" si="8"/>
        <v>12.283574894752066</v>
      </c>
      <c r="Y27" s="147">
        <v>23935.117360000004</v>
      </c>
      <c r="Z27" s="139">
        <v>12.406172713188422</v>
      </c>
      <c r="AA27" s="150">
        <v>24174.468533600004</v>
      </c>
      <c r="AB27" s="149">
        <f t="shared" si="11"/>
        <v>12.530234440320307</v>
      </c>
      <c r="AC27" s="150">
        <v>24657</v>
      </c>
      <c r="AD27" s="149">
        <f t="shared" si="12"/>
        <v>12.78034262327456</v>
      </c>
      <c r="AE27" s="321"/>
      <c r="AF27" s="110"/>
      <c r="AG27" s="351"/>
      <c r="AH27" s="350"/>
      <c r="AI27" s="292"/>
      <c r="AJ27" s="258"/>
      <c r="AK27" s="258"/>
      <c r="AL27" s="258"/>
      <c r="AM27" s="342"/>
      <c r="AN27" s="322"/>
      <c r="AP27" s="23"/>
      <c r="AQ27" s="22"/>
      <c r="AR27" s="310"/>
      <c r="AS27" s="310"/>
      <c r="AT27" s="310"/>
      <c r="AU27" s="24"/>
    </row>
    <row r="28" spans="1:50" ht="12.75" customHeight="1">
      <c r="A28" s="135">
        <v>28</v>
      </c>
      <c r="B28" s="15">
        <v>22293</v>
      </c>
      <c r="C28" s="15">
        <f t="shared" si="0"/>
        <v>22845</v>
      </c>
      <c r="D28" s="69">
        <f t="shared" si="9"/>
        <v>23404.702499999999</v>
      </c>
      <c r="E28" s="69">
        <f t="shared" si="10"/>
        <v>23473.237499999999</v>
      </c>
      <c r="F28" s="70">
        <v>23473.237499999999</v>
      </c>
      <c r="G28" s="71">
        <f t="shared" si="13"/>
        <v>23707.969874999999</v>
      </c>
      <c r="H28" s="71">
        <v>23707.969874999999</v>
      </c>
      <c r="I28" s="71">
        <v>23707.969874999999</v>
      </c>
      <c r="J28" s="72">
        <v>23707.969874999999</v>
      </c>
      <c r="K28" s="53">
        <f>J28*1%+J28</f>
        <v>23945.049573749999</v>
      </c>
      <c r="L28" s="42">
        <f t="shared" si="3"/>
        <v>12.411558858372198</v>
      </c>
      <c r="M28" s="44">
        <f t="shared" si="5"/>
        <v>757.04957374999867</v>
      </c>
      <c r="N28" s="45">
        <f t="shared" si="6"/>
        <v>3.2975905278023167E-2</v>
      </c>
      <c r="P28" s="85">
        <f t="shared" si="14"/>
        <v>24471.840664372499</v>
      </c>
      <c r="Q28" s="42">
        <f t="shared" si="4"/>
        <v>12.684613153256388</v>
      </c>
      <c r="R28" s="61">
        <f t="shared" si="15"/>
        <v>110.12328298967624</v>
      </c>
      <c r="S28" s="61">
        <v>100</v>
      </c>
      <c r="T28" s="61">
        <f t="shared" si="18"/>
        <v>10.123282989676241</v>
      </c>
      <c r="U28" s="144">
        <f t="shared" si="7"/>
        <v>24471.840664372499</v>
      </c>
      <c r="V28" s="146">
        <f t="shared" si="8"/>
        <v>12.684613153256388</v>
      </c>
      <c r="W28" s="133">
        <f t="shared" si="16"/>
        <v>24471.840664372499</v>
      </c>
      <c r="X28" s="141">
        <f t="shared" si="8"/>
        <v>12.684613153256388</v>
      </c>
      <c r="Y28" s="147">
        <v>24716.559071016225</v>
      </c>
      <c r="Z28" s="139">
        <v>12.811213586242939</v>
      </c>
      <c r="AA28" s="150">
        <v>24963.724661726388</v>
      </c>
      <c r="AB28" s="149">
        <f t="shared" si="11"/>
        <v>12.939325722105368</v>
      </c>
      <c r="AC28" s="150">
        <v>25463</v>
      </c>
      <c r="AD28" s="149">
        <f t="shared" si="12"/>
        <v>13.198112674552466</v>
      </c>
      <c r="AE28" s="321"/>
      <c r="AF28" s="110"/>
      <c r="AG28" s="351"/>
      <c r="AH28" s="350"/>
      <c r="AI28" s="292"/>
      <c r="AJ28" s="258"/>
      <c r="AK28" s="258"/>
      <c r="AL28" s="258"/>
      <c r="AM28" s="342"/>
      <c r="AN28" s="323"/>
      <c r="AO28" s="312" t="s">
        <v>24</v>
      </c>
      <c r="AP28" s="23"/>
      <c r="AQ28" s="29"/>
      <c r="AR28" s="311"/>
      <c r="AS28" s="326"/>
      <c r="AT28" s="310"/>
      <c r="AU28" s="328" t="s">
        <v>8</v>
      </c>
      <c r="AV28" s="309" t="s">
        <v>15</v>
      </c>
    </row>
    <row r="29" spans="1:50">
      <c r="A29" s="135">
        <v>29</v>
      </c>
      <c r="B29" s="15">
        <v>23175</v>
      </c>
      <c r="C29" s="15">
        <f t="shared" si="0"/>
        <v>23749</v>
      </c>
      <c r="D29" s="69">
        <f t="shared" si="9"/>
        <v>24330.8505</v>
      </c>
      <c r="E29" s="69">
        <f t="shared" si="10"/>
        <v>24402.0975</v>
      </c>
      <c r="F29" s="70">
        <v>24402.0975</v>
      </c>
      <c r="G29" s="71">
        <f t="shared" si="13"/>
        <v>24646.118474999999</v>
      </c>
      <c r="H29" s="71">
        <v>24646.118474999999</v>
      </c>
      <c r="I29" s="71">
        <v>24646.118474999999</v>
      </c>
      <c r="J29" s="72">
        <v>24646.118474999999</v>
      </c>
      <c r="K29" s="53">
        <f>J29*1%+J29</f>
        <v>24892.579659749998</v>
      </c>
      <c r="L29" s="42">
        <f t="shared" si="3"/>
        <v>12.902696928320477</v>
      </c>
      <c r="M29" s="44">
        <f t="shared" si="5"/>
        <v>947.53008599999885</v>
      </c>
      <c r="N29" s="45">
        <f t="shared" si="6"/>
        <v>3.9966732326548432E-2</v>
      </c>
      <c r="P29" s="85">
        <f t="shared" si="14"/>
        <v>25440.216412264497</v>
      </c>
      <c r="Q29" s="42">
        <f t="shared" si="4"/>
        <v>13.186556260743528</v>
      </c>
      <c r="R29" s="61">
        <f t="shared" si="15"/>
        <v>114.48097385519023</v>
      </c>
      <c r="S29" s="61">
        <v>100</v>
      </c>
      <c r="T29" s="61">
        <f t="shared" si="18"/>
        <v>14.480973855190229</v>
      </c>
      <c r="U29" s="144">
        <f t="shared" si="7"/>
        <v>25440.216412264497</v>
      </c>
      <c r="V29" s="146">
        <f t="shared" si="8"/>
        <v>13.186556260743528</v>
      </c>
      <c r="W29" s="133">
        <f t="shared" si="16"/>
        <v>25440.216412264497</v>
      </c>
      <c r="X29" s="141">
        <f t="shared" si="8"/>
        <v>13.186556260743528</v>
      </c>
      <c r="Y29" s="147">
        <v>25694</v>
      </c>
      <c r="Z29" s="139">
        <v>13.317845778578763</v>
      </c>
      <c r="AA29" s="150">
        <v>25950.94</v>
      </c>
      <c r="AB29" s="149">
        <f t="shared" si="11"/>
        <v>13.45102423636455</v>
      </c>
      <c r="AC29" s="150">
        <v>26470</v>
      </c>
      <c r="AD29" s="149">
        <f t="shared" si="12"/>
        <v>13.720066076087019</v>
      </c>
      <c r="AE29" s="321"/>
      <c r="AF29" s="110"/>
      <c r="AG29" s="351"/>
      <c r="AH29" s="350"/>
      <c r="AI29" s="292"/>
      <c r="AJ29" s="258"/>
      <c r="AK29" s="258"/>
      <c r="AL29" s="258"/>
      <c r="AM29" s="342"/>
      <c r="AO29" s="313"/>
      <c r="AP29" s="128" t="s">
        <v>60</v>
      </c>
      <c r="AQ29" s="23"/>
      <c r="AR29" s="24"/>
      <c r="AS29" s="326"/>
      <c r="AT29" s="310"/>
      <c r="AU29" s="329"/>
      <c r="AV29" s="310"/>
    </row>
    <row r="30" spans="1:50">
      <c r="A30" s="135">
        <v>30</v>
      </c>
      <c r="B30" s="15">
        <v>23952</v>
      </c>
      <c r="C30" s="15">
        <f t="shared" si="0"/>
        <v>24545</v>
      </c>
      <c r="D30" s="69">
        <f t="shared" si="9"/>
        <v>25146.352500000001</v>
      </c>
      <c r="E30" s="69">
        <f t="shared" si="10"/>
        <v>25219.987499999999</v>
      </c>
      <c r="F30" s="70">
        <v>25219.987499999999</v>
      </c>
      <c r="G30" s="71">
        <f t="shared" si="13"/>
        <v>25472.187374999998</v>
      </c>
      <c r="H30" s="71">
        <v>25472.187374999998</v>
      </c>
      <c r="I30" s="71">
        <v>25472.187374999998</v>
      </c>
      <c r="J30" s="72">
        <v>25472.187374999998</v>
      </c>
      <c r="K30" s="53">
        <f>J30*1%+J30</f>
        <v>25726.909248749998</v>
      </c>
      <c r="L30" s="42">
        <f t="shared" si="3"/>
        <v>13.335159211151044</v>
      </c>
      <c r="M30" s="44">
        <f t="shared" si="5"/>
        <v>834.32958900000085</v>
      </c>
      <c r="N30" s="45">
        <f t="shared" si="6"/>
        <v>3.385237273148347E-2</v>
      </c>
      <c r="P30" s="85">
        <f t="shared" si="14"/>
        <v>26292.901252222498</v>
      </c>
      <c r="Q30" s="42">
        <f t="shared" si="4"/>
        <v>13.628532713796368</v>
      </c>
      <c r="R30" s="61">
        <f t="shared" si="15"/>
        <v>118.31805563500123</v>
      </c>
      <c r="S30" s="61">
        <v>100</v>
      </c>
      <c r="T30" s="61">
        <f t="shared" si="18"/>
        <v>18.31805563500123</v>
      </c>
      <c r="U30" s="144">
        <f t="shared" si="7"/>
        <v>26292.901252222498</v>
      </c>
      <c r="V30" s="146">
        <f t="shared" si="8"/>
        <v>13.628532713796368</v>
      </c>
      <c r="W30" s="133">
        <f t="shared" si="16"/>
        <v>26292.901252222498</v>
      </c>
      <c r="X30" s="141">
        <f t="shared" si="8"/>
        <v>13.628532713796368</v>
      </c>
      <c r="Y30" s="147">
        <v>26555.830264744724</v>
      </c>
      <c r="Z30" s="139">
        <v>13.764554058845826</v>
      </c>
      <c r="AA30" s="150">
        <v>26822</v>
      </c>
      <c r="AB30" s="149">
        <f t="shared" si="11"/>
        <v>13.902516520317569</v>
      </c>
      <c r="AC30" s="150">
        <v>27358</v>
      </c>
      <c r="AD30" s="149">
        <f t="shared" si="12"/>
        <v>14.18033878766863</v>
      </c>
      <c r="AE30" s="321"/>
      <c r="AF30" s="110"/>
      <c r="AG30" s="351"/>
      <c r="AH30" s="350"/>
      <c r="AI30" s="292"/>
      <c r="AJ30" s="258"/>
      <c r="AK30" s="258"/>
      <c r="AL30" s="258"/>
      <c r="AM30" s="342"/>
      <c r="AO30" s="313"/>
      <c r="AP30" s="31"/>
      <c r="AQ30" s="23"/>
      <c r="AS30" s="326"/>
      <c r="AT30" s="310"/>
      <c r="AU30" s="329"/>
      <c r="AV30" s="310"/>
    </row>
    <row r="31" spans="1:50" ht="12.75" customHeight="1">
      <c r="A31" s="135">
        <v>31</v>
      </c>
      <c r="B31" s="15">
        <v>24708</v>
      </c>
      <c r="C31" s="15">
        <f t="shared" si="0"/>
        <v>25320</v>
      </c>
      <c r="D31" s="69">
        <f t="shared" si="9"/>
        <v>25940.34</v>
      </c>
      <c r="E31" s="69">
        <f t="shared" si="10"/>
        <v>26016.3</v>
      </c>
      <c r="F31" s="70">
        <v>26016.3</v>
      </c>
      <c r="G31" s="71">
        <f t="shared" si="13"/>
        <v>26276.463</v>
      </c>
      <c r="H31" s="71">
        <v>26276.463</v>
      </c>
      <c r="I31" s="71">
        <v>26276.463</v>
      </c>
      <c r="J31" s="72">
        <v>26276.463</v>
      </c>
      <c r="K31" s="53">
        <f>J31*1%+J31</f>
        <v>26539.227630000001</v>
      </c>
      <c r="L31" s="42">
        <f t="shared" si="3"/>
        <v>13.756212313153167</v>
      </c>
      <c r="M31" s="44">
        <f t="shared" si="5"/>
        <v>812.31838125000286</v>
      </c>
      <c r="N31" s="45">
        <f t="shared" si="6"/>
        <v>3.1890405377877483E-2</v>
      </c>
      <c r="P31" s="85">
        <f t="shared" si="14"/>
        <v>27123.090637860001</v>
      </c>
      <c r="Q31" s="42">
        <f t="shared" si="4"/>
        <v>14.058848984042537</v>
      </c>
      <c r="R31" s="61">
        <f t="shared" si="15"/>
        <v>122.05390787037</v>
      </c>
      <c r="S31" s="61">
        <v>100</v>
      </c>
      <c r="T31" s="61">
        <f t="shared" si="18"/>
        <v>22.053907870369997</v>
      </c>
      <c r="U31" s="144">
        <f t="shared" si="7"/>
        <v>27123.090637860001</v>
      </c>
      <c r="V31" s="146">
        <f t="shared" si="8"/>
        <v>14.058848984042537</v>
      </c>
      <c r="W31" s="133">
        <f t="shared" si="16"/>
        <v>27123.090637860001</v>
      </c>
      <c r="X31" s="141">
        <f t="shared" si="8"/>
        <v>14.058848984042537</v>
      </c>
      <c r="Y31" s="147">
        <v>27394.321544238603</v>
      </c>
      <c r="Z31" s="139">
        <v>14.199165156650086</v>
      </c>
      <c r="AA31" s="150">
        <v>27668.264759680987</v>
      </c>
      <c r="AB31" s="149">
        <f t="shared" si="11"/>
        <v>14.341156808216587</v>
      </c>
      <c r="AC31" s="150">
        <v>28221</v>
      </c>
      <c r="AD31" s="149">
        <f t="shared" si="12"/>
        <v>14.627653371108869</v>
      </c>
      <c r="AE31" s="321"/>
      <c r="AF31" s="110"/>
      <c r="AG31" s="351"/>
      <c r="AH31" s="350"/>
      <c r="AI31" s="292"/>
      <c r="AJ31" s="258"/>
      <c r="AK31" s="258"/>
      <c r="AL31" s="258"/>
      <c r="AM31" s="342"/>
      <c r="AN31" s="300" t="s">
        <v>25</v>
      </c>
      <c r="AO31" s="313"/>
      <c r="AP31" s="32"/>
      <c r="AQ31" s="23"/>
      <c r="AR31" s="309" t="s">
        <v>13</v>
      </c>
      <c r="AS31" s="327"/>
      <c r="AT31" s="310"/>
      <c r="AU31" s="329"/>
      <c r="AV31" s="310"/>
      <c r="AW31" s="309" t="s">
        <v>18</v>
      </c>
    </row>
    <row r="32" spans="1:50">
      <c r="A32" s="135">
        <v>32</v>
      </c>
      <c r="B32" s="15">
        <v>25437</v>
      </c>
      <c r="C32" s="15">
        <f t="shared" si="0"/>
        <v>26067</v>
      </c>
      <c r="D32" s="69">
        <f t="shared" si="9"/>
        <v>26705.641500000002</v>
      </c>
      <c r="E32" s="69">
        <f t="shared" si="10"/>
        <v>26783.842499999999</v>
      </c>
      <c r="F32" s="70">
        <v>26783.842499999999</v>
      </c>
      <c r="G32" s="71">
        <f t="shared" si="13"/>
        <v>27051.680925000001</v>
      </c>
      <c r="H32" s="71">
        <v>27051.680925000001</v>
      </c>
      <c r="I32" s="71">
        <v>27051.680925000001</v>
      </c>
      <c r="J32" s="72">
        <v>27051.680925000001</v>
      </c>
      <c r="K32" s="53">
        <v>27323</v>
      </c>
      <c r="L32" s="42">
        <f t="shared" si="3"/>
        <v>14.16246901652141</v>
      </c>
      <c r="M32" s="44">
        <f t="shared" si="5"/>
        <v>783.77236999999877</v>
      </c>
      <c r="N32" s="45">
        <f t="shared" si="6"/>
        <v>2.9827925090222331E-2</v>
      </c>
      <c r="P32" s="85">
        <f t="shared" si="14"/>
        <v>27924.106</v>
      </c>
      <c r="Q32" s="42">
        <f t="shared" si="4"/>
        <v>14.474043334884881</v>
      </c>
      <c r="R32" s="61">
        <f t="shared" si="15"/>
        <v>125.65847699999999</v>
      </c>
      <c r="S32" s="61">
        <v>100</v>
      </c>
      <c r="T32" s="61">
        <f t="shared" si="18"/>
        <v>25.658476999999991</v>
      </c>
      <c r="U32" s="144">
        <f t="shared" si="7"/>
        <v>27924.106</v>
      </c>
      <c r="V32" s="146">
        <f t="shared" si="8"/>
        <v>14.474043334884881</v>
      </c>
      <c r="W32" s="133">
        <f t="shared" si="16"/>
        <v>27924.106</v>
      </c>
      <c r="X32" s="141">
        <f t="shared" si="8"/>
        <v>14.474043334884881</v>
      </c>
      <c r="Y32" s="147">
        <v>28203.34706</v>
      </c>
      <c r="Z32" s="139">
        <v>14.618503408765189</v>
      </c>
      <c r="AA32" s="150">
        <v>28485.380530599999</v>
      </c>
      <c r="AB32" s="149">
        <f t="shared" si="11"/>
        <v>14.76468844285284</v>
      </c>
      <c r="AC32" s="150">
        <v>29055</v>
      </c>
      <c r="AD32" s="149">
        <f t="shared" si="12"/>
        <v>15.059936525905112</v>
      </c>
      <c r="AE32" s="321"/>
      <c r="AF32" s="110"/>
      <c r="AG32" s="351"/>
      <c r="AH32" s="350"/>
      <c r="AI32" s="292"/>
      <c r="AJ32" s="258"/>
      <c r="AK32" s="258"/>
      <c r="AL32" s="258"/>
      <c r="AM32" s="342"/>
      <c r="AN32" s="301"/>
      <c r="AO32" s="126"/>
      <c r="AP32" s="23"/>
      <c r="AQ32" s="28" t="s">
        <v>61</v>
      </c>
      <c r="AR32" s="310"/>
      <c r="AS32" s="24"/>
      <c r="AT32" s="310"/>
      <c r="AU32" s="329"/>
      <c r="AV32" s="310"/>
      <c r="AW32" s="310"/>
    </row>
    <row r="33" spans="1:49">
      <c r="A33" s="135">
        <v>33</v>
      </c>
      <c r="B33" s="15">
        <v>26187</v>
      </c>
      <c r="C33" s="15">
        <f t="shared" si="0"/>
        <v>26835</v>
      </c>
      <c r="D33" s="69">
        <f t="shared" si="9"/>
        <v>27492.4575</v>
      </c>
      <c r="E33" s="69">
        <f t="shared" si="10"/>
        <v>27572.962500000001</v>
      </c>
      <c r="F33" s="70">
        <v>27572.962500000001</v>
      </c>
      <c r="G33" s="71">
        <f t="shared" si="13"/>
        <v>27848.692125000001</v>
      </c>
      <c r="H33" s="71">
        <v>27848.692125000001</v>
      </c>
      <c r="I33" s="71">
        <v>27848.692125000001</v>
      </c>
      <c r="J33" s="72">
        <v>27848.692125000001</v>
      </c>
      <c r="K33" s="53">
        <f>J33*1%+J33</f>
        <v>28127.179046250003</v>
      </c>
      <c r="L33" s="42">
        <f t="shared" si="3"/>
        <v>14.579303215776669</v>
      </c>
      <c r="M33" s="44">
        <f t="shared" si="5"/>
        <v>804.17904625000301</v>
      </c>
      <c r="N33" s="45">
        <f t="shared" si="6"/>
        <v>2.9727507450630002E-2</v>
      </c>
      <c r="P33" s="85">
        <f t="shared" si="14"/>
        <v>28745.976985267505</v>
      </c>
      <c r="Q33" s="42">
        <f t="shared" si="4"/>
        <v>14.900047886523756</v>
      </c>
      <c r="R33" s="61">
        <f t="shared" si="15"/>
        <v>129.35689643370375</v>
      </c>
      <c r="S33" s="61">
        <v>100</v>
      </c>
      <c r="T33" s="61">
        <f t="shared" si="18"/>
        <v>29.356896433703753</v>
      </c>
      <c r="U33" s="144">
        <f t="shared" si="7"/>
        <v>28745.976985267505</v>
      </c>
      <c r="V33" s="146">
        <f t="shared" si="8"/>
        <v>14.900047886523756</v>
      </c>
      <c r="W33" s="133">
        <f t="shared" si="16"/>
        <v>28745.976985267505</v>
      </c>
      <c r="X33" s="141">
        <f t="shared" si="8"/>
        <v>14.900047886523756</v>
      </c>
      <c r="Y33" s="147">
        <v>29033.436755120179</v>
      </c>
      <c r="Z33" s="139">
        <v>15.048759754293251</v>
      </c>
      <c r="AA33" s="150">
        <v>29323</v>
      </c>
      <c r="AB33" s="149">
        <f t="shared" si="11"/>
        <v>15.198847659580645</v>
      </c>
      <c r="AC33" s="150">
        <v>29909</v>
      </c>
      <c r="AD33" s="149">
        <f t="shared" si="12"/>
        <v>15.502586183214454</v>
      </c>
      <c r="AE33" s="321"/>
      <c r="AF33" s="110"/>
      <c r="AG33" s="351"/>
      <c r="AH33" s="350"/>
      <c r="AI33" s="292"/>
      <c r="AJ33" s="258"/>
      <c r="AK33" s="258"/>
      <c r="AL33" s="258"/>
      <c r="AM33" s="342"/>
      <c r="AN33" s="301"/>
      <c r="AP33" s="30" t="s">
        <v>62</v>
      </c>
      <c r="AQ33" s="31"/>
      <c r="AR33" s="310"/>
      <c r="AS33" s="24"/>
      <c r="AT33" s="310"/>
      <c r="AU33" s="329"/>
      <c r="AV33" s="310"/>
      <c r="AW33" s="310"/>
    </row>
    <row r="34" spans="1:49" ht="12.75" customHeight="1">
      <c r="A34" s="135">
        <v>34</v>
      </c>
      <c r="B34" s="15">
        <v>26928</v>
      </c>
      <c r="C34" s="15">
        <f t="shared" si="0"/>
        <v>27594</v>
      </c>
      <c r="D34" s="69">
        <f t="shared" si="9"/>
        <v>28270.053</v>
      </c>
      <c r="E34" s="69">
        <f t="shared" si="10"/>
        <v>28352.834999999999</v>
      </c>
      <c r="F34" s="70">
        <v>28352.834999999999</v>
      </c>
      <c r="G34" s="71">
        <f t="shared" si="13"/>
        <v>28636.36335</v>
      </c>
      <c r="H34" s="71">
        <v>28636.36335</v>
      </c>
      <c r="I34" s="71">
        <v>28636.36335</v>
      </c>
      <c r="J34" s="72">
        <v>28636.36335</v>
      </c>
      <c r="K34" s="53">
        <v>28922</v>
      </c>
      <c r="L34" s="42">
        <f t="shared" si="3"/>
        <v>14.991286787535492</v>
      </c>
      <c r="M34" s="44">
        <f t="shared" si="5"/>
        <v>794.82095374999699</v>
      </c>
      <c r="N34" s="45">
        <f t="shared" si="6"/>
        <v>2.8540692330627608E-2</v>
      </c>
      <c r="P34" s="85">
        <f t="shared" si="14"/>
        <v>29558.284</v>
      </c>
      <c r="Q34" s="42">
        <f t="shared" si="4"/>
        <v>15.321095096861274</v>
      </c>
      <c r="R34" s="61">
        <f t="shared" si="15"/>
        <v>133.01227799999998</v>
      </c>
      <c r="S34" s="61">
        <v>100</v>
      </c>
      <c r="T34" s="61">
        <f t="shared" si="18"/>
        <v>33.012277999999981</v>
      </c>
      <c r="U34" s="144">
        <f t="shared" si="7"/>
        <v>29558.284</v>
      </c>
      <c r="V34" s="146">
        <f t="shared" si="8"/>
        <v>15.321095096861274</v>
      </c>
      <c r="W34" s="133">
        <f t="shared" si="16"/>
        <v>29558.284</v>
      </c>
      <c r="X34" s="141">
        <f t="shared" si="8"/>
        <v>15.321095096861274</v>
      </c>
      <c r="Y34" s="147">
        <v>29853.866839999999</v>
      </c>
      <c r="Z34" s="139">
        <v>15.4740092811297</v>
      </c>
      <c r="AA34" s="150">
        <v>30153</v>
      </c>
      <c r="AB34" s="149">
        <f t="shared" si="11"/>
        <v>15.629057513874267</v>
      </c>
      <c r="AC34" s="150">
        <v>30756</v>
      </c>
      <c r="AD34" s="149">
        <f t="shared" si="12"/>
        <v>15.941607564644215</v>
      </c>
      <c r="AE34" s="321"/>
      <c r="AF34" s="110"/>
      <c r="AG34" s="351"/>
      <c r="AH34" s="350"/>
      <c r="AI34" s="292"/>
      <c r="AJ34" s="258"/>
      <c r="AK34" s="258"/>
      <c r="AL34" s="258"/>
      <c r="AM34" s="342"/>
      <c r="AN34" s="302"/>
      <c r="AO34" s="312" t="s">
        <v>26</v>
      </c>
      <c r="AP34" s="129"/>
      <c r="AQ34" s="32"/>
      <c r="AR34" s="310"/>
      <c r="AS34" s="24"/>
      <c r="AT34" s="311"/>
      <c r="AU34" s="330"/>
      <c r="AV34" s="310"/>
      <c r="AW34" s="310"/>
    </row>
    <row r="35" spans="1:49">
      <c r="A35" s="135">
        <v>35</v>
      </c>
      <c r="B35" s="15">
        <v>27492</v>
      </c>
      <c r="C35" s="15">
        <f t="shared" si="0"/>
        <v>28172</v>
      </c>
      <c r="D35" s="69">
        <f t="shared" si="9"/>
        <v>28862.214</v>
      </c>
      <c r="E35" s="69">
        <f t="shared" si="10"/>
        <v>28946.73</v>
      </c>
      <c r="F35" s="70">
        <v>28946.73</v>
      </c>
      <c r="G35" s="71">
        <f t="shared" si="13"/>
        <v>29236.1973</v>
      </c>
      <c r="H35" s="71">
        <v>29236.1973</v>
      </c>
      <c r="I35" s="71">
        <v>29236.1973</v>
      </c>
      <c r="J35" s="72">
        <v>29236.1973</v>
      </c>
      <c r="K35" s="53">
        <v>29528</v>
      </c>
      <c r="L35" s="42">
        <f t="shared" si="3"/>
        <v>15.305397837713436</v>
      </c>
      <c r="M35" s="44">
        <f t="shared" si="5"/>
        <v>606</v>
      </c>
      <c r="N35" s="45">
        <f t="shared" si="6"/>
        <v>2.1161904973523812E-2</v>
      </c>
      <c r="P35" s="85">
        <f t="shared" si="14"/>
        <v>30177.616000000002</v>
      </c>
      <c r="Q35" s="42">
        <f t="shared" si="4"/>
        <v>15.642116590143132</v>
      </c>
      <c r="R35" s="61">
        <f t="shared" si="15"/>
        <v>135.799272</v>
      </c>
      <c r="S35" s="61">
        <v>100</v>
      </c>
      <c r="T35" s="61">
        <f t="shared" si="18"/>
        <v>35.799272000000002</v>
      </c>
      <c r="U35" s="144">
        <f t="shared" si="7"/>
        <v>30177.616000000002</v>
      </c>
      <c r="V35" s="146">
        <f t="shared" si="8"/>
        <v>15.642116590143132</v>
      </c>
      <c r="W35" s="133">
        <f t="shared" si="16"/>
        <v>30177.616000000002</v>
      </c>
      <c r="X35" s="141">
        <f t="shared" si="8"/>
        <v>15.642116590143132</v>
      </c>
      <c r="Y35" s="147">
        <v>30480</v>
      </c>
      <c r="Z35" s="139">
        <v>15.798549829963441</v>
      </c>
      <c r="AA35" s="150">
        <v>30784.799999999999</v>
      </c>
      <c r="AB35" s="149">
        <f t="shared" si="11"/>
        <v>15.956535328263078</v>
      </c>
      <c r="AC35" s="150">
        <v>31401</v>
      </c>
      <c r="AD35" s="149">
        <f t="shared" si="12"/>
        <v>16.275927270691671</v>
      </c>
      <c r="AE35" s="321"/>
      <c r="AF35" s="110"/>
      <c r="AG35" s="351"/>
      <c r="AH35" s="350"/>
      <c r="AI35" s="292"/>
      <c r="AJ35" s="258"/>
      <c r="AK35" s="258"/>
      <c r="AL35" s="258"/>
      <c r="AM35" s="342"/>
      <c r="AO35" s="313"/>
      <c r="AP35" s="130"/>
      <c r="AQ35" s="33" t="s">
        <v>63</v>
      </c>
      <c r="AR35" s="310"/>
      <c r="AS35" s="24"/>
      <c r="AU35" s="24"/>
      <c r="AV35" s="310"/>
      <c r="AW35" s="310"/>
    </row>
    <row r="36" spans="1:49">
      <c r="A36" s="135">
        <v>36</v>
      </c>
      <c r="B36" s="15">
        <v>28221</v>
      </c>
      <c r="C36" s="15">
        <f t="shared" si="0"/>
        <v>28919</v>
      </c>
      <c r="D36" s="69">
        <f t="shared" si="9"/>
        <v>29627.515500000001</v>
      </c>
      <c r="E36" s="69">
        <f t="shared" si="10"/>
        <v>29714.272499999999</v>
      </c>
      <c r="F36" s="70">
        <v>29714.272499999999</v>
      </c>
      <c r="G36" s="71">
        <f t="shared" si="13"/>
        <v>30011.415225000001</v>
      </c>
      <c r="H36" s="71">
        <v>30011.415225000001</v>
      </c>
      <c r="I36" s="71">
        <v>30011.415225000001</v>
      </c>
      <c r="J36" s="72">
        <v>30011.415225000001</v>
      </c>
      <c r="K36" s="53">
        <v>30311</v>
      </c>
      <c r="L36" s="42">
        <f t="shared" si="3"/>
        <v>15.711254194626525</v>
      </c>
      <c r="M36" s="44">
        <f t="shared" si="5"/>
        <v>783</v>
      </c>
      <c r="N36" s="45">
        <f t="shared" si="6"/>
        <v>2.6781868789755362E-2</v>
      </c>
      <c r="P36" s="85">
        <f t="shared" si="14"/>
        <v>30977.842000000001</v>
      </c>
      <c r="Q36" s="42">
        <f t="shared" si="4"/>
        <v>16.056901786908305</v>
      </c>
      <c r="R36" s="61">
        <f t="shared" si="15"/>
        <v>139.40028899999999</v>
      </c>
      <c r="S36" s="61">
        <v>100</v>
      </c>
      <c r="T36" s="61">
        <f t="shared" si="18"/>
        <v>39.400288999999987</v>
      </c>
      <c r="U36" s="144">
        <f t="shared" si="7"/>
        <v>30977.842000000001</v>
      </c>
      <c r="V36" s="146">
        <f t="shared" si="8"/>
        <v>16.056901786908305</v>
      </c>
      <c r="W36" s="133">
        <f t="shared" si="16"/>
        <v>30977.842000000001</v>
      </c>
      <c r="X36" s="141">
        <f t="shared" si="8"/>
        <v>16.056901786908305</v>
      </c>
      <c r="Y36" s="147">
        <v>31287.620419999999</v>
      </c>
      <c r="Z36" s="139">
        <v>16.21715978564146</v>
      </c>
      <c r="AA36" s="150">
        <v>31601</v>
      </c>
      <c r="AB36" s="149">
        <f t="shared" si="11"/>
        <v>16.379592295822661</v>
      </c>
      <c r="AC36" s="150">
        <v>32233</v>
      </c>
      <c r="AD36" s="149">
        <f t="shared" si="12"/>
        <v>16.707173775236601</v>
      </c>
      <c r="AE36" s="321"/>
      <c r="AF36" s="110"/>
      <c r="AG36" s="351"/>
      <c r="AH36" s="350"/>
      <c r="AI36" s="292"/>
      <c r="AJ36" s="258"/>
      <c r="AK36" s="258"/>
      <c r="AL36" s="258"/>
      <c r="AM36" s="342"/>
      <c r="AO36" s="313"/>
      <c r="AP36" s="131"/>
      <c r="AQ36" s="34"/>
      <c r="AR36" s="310"/>
      <c r="AS36" s="314"/>
      <c r="AU36" s="24"/>
      <c r="AV36" s="310"/>
      <c r="AW36" s="310"/>
    </row>
    <row r="37" spans="1:49" ht="12.75" customHeight="1">
      <c r="A37" s="135">
        <v>37</v>
      </c>
      <c r="B37" s="15">
        <v>29010</v>
      </c>
      <c r="C37" s="15">
        <f t="shared" ref="C37:C63" si="19">ROUND(B37*1.02475/1,0)*1</f>
        <v>29728</v>
      </c>
      <c r="D37" s="69">
        <f t="shared" si="9"/>
        <v>30456.335999999999</v>
      </c>
      <c r="E37" s="69">
        <f t="shared" si="10"/>
        <v>30545.52</v>
      </c>
      <c r="F37" s="70">
        <v>30545.52</v>
      </c>
      <c r="G37" s="71">
        <f t="shared" si="13"/>
        <v>30850.975200000001</v>
      </c>
      <c r="H37" s="71">
        <v>30850.975200000001</v>
      </c>
      <c r="I37" s="71">
        <v>30850.975200000001</v>
      </c>
      <c r="J37" s="72">
        <v>30850.975200000001</v>
      </c>
      <c r="K37" s="53">
        <v>31160</v>
      </c>
      <c r="L37" s="42">
        <f t="shared" ref="L37:L68" si="20">K37/52.142/37</f>
        <v>16.151320665915424</v>
      </c>
      <c r="M37" s="44">
        <f t="shared" si="5"/>
        <v>849</v>
      </c>
      <c r="N37" s="45">
        <f t="shared" si="6"/>
        <v>2.8289235733634083E-2</v>
      </c>
      <c r="P37" s="85">
        <f t="shared" si="14"/>
        <v>31845.52</v>
      </c>
      <c r="Q37" s="42">
        <f t="shared" si="4"/>
        <v>16.506649720565566</v>
      </c>
      <c r="R37" s="61">
        <f t="shared" si="15"/>
        <v>143.30483999999998</v>
      </c>
      <c r="S37" s="61">
        <v>100</v>
      </c>
      <c r="T37" s="61">
        <f t="shared" si="18"/>
        <v>43.304839999999984</v>
      </c>
      <c r="U37" s="144">
        <f t="shared" si="7"/>
        <v>31845.52</v>
      </c>
      <c r="V37" s="146">
        <f t="shared" si="8"/>
        <v>16.506649720565566</v>
      </c>
      <c r="W37" s="133">
        <f t="shared" si="16"/>
        <v>31845.52</v>
      </c>
      <c r="X37" s="141">
        <f t="shared" si="8"/>
        <v>16.506649720565566</v>
      </c>
      <c r="Y37" s="147">
        <v>32163.975200000001</v>
      </c>
      <c r="Z37" s="139">
        <v>16.671396487103294</v>
      </c>
      <c r="AA37" s="150">
        <v>32485.614952</v>
      </c>
      <c r="AB37" s="149">
        <f t="shared" si="11"/>
        <v>16.838110451974327</v>
      </c>
      <c r="AC37" s="150">
        <v>33136</v>
      </c>
      <c r="AD37" s="149">
        <f t="shared" si="12"/>
        <v>17.175221363703042</v>
      </c>
      <c r="AE37" s="321"/>
      <c r="AF37" s="110"/>
      <c r="AG37" s="351"/>
      <c r="AH37" s="350"/>
      <c r="AI37" s="292"/>
      <c r="AJ37" s="258"/>
      <c r="AK37" s="258"/>
      <c r="AL37" s="258"/>
      <c r="AM37" s="342"/>
      <c r="AN37" s="300" t="s">
        <v>27</v>
      </c>
      <c r="AO37" s="313"/>
      <c r="AP37" s="23"/>
      <c r="AQ37" s="34"/>
      <c r="AR37" s="310"/>
      <c r="AS37" s="314"/>
      <c r="AU37" s="24"/>
      <c r="AV37" s="311"/>
      <c r="AW37" s="311"/>
    </row>
    <row r="38" spans="1:49">
      <c r="A38" s="135">
        <v>38</v>
      </c>
      <c r="B38" s="15">
        <v>29859</v>
      </c>
      <c r="C38" s="15">
        <f t="shared" si="19"/>
        <v>30598</v>
      </c>
      <c r="D38" s="69">
        <f t="shared" si="9"/>
        <v>31347.651000000002</v>
      </c>
      <c r="E38" s="69">
        <f t="shared" si="10"/>
        <v>31439.445</v>
      </c>
      <c r="F38" s="70">
        <v>31439.445</v>
      </c>
      <c r="G38" s="71">
        <f t="shared" si="13"/>
        <v>31753.839449999999</v>
      </c>
      <c r="H38" s="71">
        <v>31753.839449999999</v>
      </c>
      <c r="I38" s="71">
        <v>31753.839449999999</v>
      </c>
      <c r="J38" s="72">
        <v>31753.839449999999</v>
      </c>
      <c r="K38" s="53">
        <v>32072</v>
      </c>
      <c r="L38" s="42">
        <f t="shared" si="20"/>
        <v>16.624042246381244</v>
      </c>
      <c r="M38" s="44">
        <f t="shared" ref="M38:M71" si="21">K38-K37</f>
        <v>912</v>
      </c>
      <c r="N38" s="45">
        <f t="shared" ref="N38:N69" si="22">M38/J37</f>
        <v>2.9561464235334772E-2</v>
      </c>
      <c r="P38" s="85">
        <f t="shared" si="14"/>
        <v>32777.584000000003</v>
      </c>
      <c r="Q38" s="42">
        <f t="shared" si="4"/>
        <v>16.989771175801632</v>
      </c>
      <c r="R38" s="61">
        <f t="shared" si="15"/>
        <v>147.49912800000001</v>
      </c>
      <c r="S38" s="61">
        <v>100</v>
      </c>
      <c r="T38" s="61">
        <f t="shared" si="18"/>
        <v>47.499128000000013</v>
      </c>
      <c r="U38" s="144">
        <f t="shared" si="7"/>
        <v>32777.584000000003</v>
      </c>
      <c r="V38" s="146">
        <f t="shared" si="8"/>
        <v>16.989771175801632</v>
      </c>
      <c r="W38" s="133">
        <f t="shared" si="16"/>
        <v>32777.584000000003</v>
      </c>
      <c r="X38" s="141">
        <f t="shared" si="8"/>
        <v>16.989771175801632</v>
      </c>
      <c r="Y38" s="147">
        <v>33106</v>
      </c>
      <c r="Z38" s="139">
        <v>17.15967160993339</v>
      </c>
      <c r="AA38" s="150">
        <v>33437.06</v>
      </c>
      <c r="AB38" s="149">
        <f t="shared" si="11"/>
        <v>17.33126832603272</v>
      </c>
      <c r="AC38" s="150">
        <v>34106</v>
      </c>
      <c r="AD38" s="149">
        <f t="shared" si="12"/>
        <v>17.677996735588358</v>
      </c>
      <c r="AE38" s="321"/>
      <c r="AF38" s="110"/>
      <c r="AG38" s="351"/>
      <c r="AH38" s="350"/>
      <c r="AI38" s="292"/>
      <c r="AJ38" s="258"/>
      <c r="AK38" s="258"/>
      <c r="AL38" s="258"/>
      <c r="AM38" s="342"/>
      <c r="AN38" s="301"/>
      <c r="AP38" s="33" t="s">
        <v>64</v>
      </c>
      <c r="AQ38" s="35"/>
      <c r="AR38" s="310"/>
      <c r="AS38" s="314"/>
    </row>
    <row r="39" spans="1:49">
      <c r="A39" s="135">
        <v>39</v>
      </c>
      <c r="B39" s="15">
        <v>30843</v>
      </c>
      <c r="C39" s="15">
        <f t="shared" si="19"/>
        <v>31606</v>
      </c>
      <c r="D39" s="69">
        <f t="shared" ref="D39:D63" si="23">(C39*2.45%)+C39</f>
        <v>32380.347000000002</v>
      </c>
      <c r="E39" s="69">
        <f t="shared" ref="E39:E63" si="24">(C39*2.75%)+C39</f>
        <v>32475.165000000001</v>
      </c>
      <c r="F39" s="70">
        <v>32475.165000000001</v>
      </c>
      <c r="G39" s="71">
        <f t="shared" si="13"/>
        <v>32799.916649999999</v>
      </c>
      <c r="H39" s="71">
        <v>32799.916649999999</v>
      </c>
      <c r="I39" s="71">
        <v>32799.916649999999</v>
      </c>
      <c r="J39" s="72">
        <v>32799.916649999999</v>
      </c>
      <c r="K39" s="53">
        <f t="shared" ref="K39:K46" si="25">J39*1%+J39</f>
        <v>33127.915816499997</v>
      </c>
      <c r="L39" s="42">
        <f t="shared" si="20"/>
        <v>17.17136044113424</v>
      </c>
      <c r="M39" s="44">
        <f t="shared" si="21"/>
        <v>1055.9158164999972</v>
      </c>
      <c r="N39" s="45">
        <f t="shared" si="22"/>
        <v>3.3253169846205709E-2</v>
      </c>
      <c r="P39" s="85">
        <f t="shared" si="14"/>
        <v>33856.729964462997</v>
      </c>
      <c r="Q39" s="42">
        <f t="shared" si="4"/>
        <v>17.54913037083919</v>
      </c>
      <c r="R39" s="61">
        <f t="shared" si="15"/>
        <v>152.35528484008347</v>
      </c>
      <c r="S39" s="61">
        <v>100</v>
      </c>
      <c r="T39" s="61">
        <f t="shared" si="18"/>
        <v>52.35528484008347</v>
      </c>
      <c r="U39" s="144">
        <f t="shared" si="7"/>
        <v>33856.729964462997</v>
      </c>
      <c r="V39" s="146">
        <f t="shared" si="8"/>
        <v>17.54913037083919</v>
      </c>
      <c r="W39" s="133">
        <f t="shared" si="16"/>
        <v>33856.729964462997</v>
      </c>
      <c r="X39" s="141">
        <f t="shared" si="8"/>
        <v>17.54913037083919</v>
      </c>
      <c r="Y39" s="147">
        <v>34196</v>
      </c>
      <c r="Z39" s="139">
        <v>17.724645996897305</v>
      </c>
      <c r="AA39" s="150">
        <v>34537.96</v>
      </c>
      <c r="AB39" s="149">
        <f t="shared" si="11"/>
        <v>17.901892456866278</v>
      </c>
      <c r="AC39" s="150">
        <v>35229</v>
      </c>
      <c r="AD39" s="149">
        <f t="shared" si="12"/>
        <v>18.26007585169889</v>
      </c>
      <c r="AE39" s="321"/>
      <c r="AF39" s="110"/>
      <c r="AG39" s="351"/>
      <c r="AH39" s="350"/>
      <c r="AI39" s="292"/>
      <c r="AJ39" s="258"/>
      <c r="AK39" s="258"/>
      <c r="AL39" s="258"/>
      <c r="AM39" s="342"/>
      <c r="AN39" s="301"/>
      <c r="AP39" s="34"/>
      <c r="AQ39" s="23"/>
      <c r="AR39" s="311"/>
      <c r="AS39" s="314"/>
    </row>
    <row r="40" spans="1:49" ht="12.75" customHeight="1">
      <c r="A40" s="135">
        <v>40</v>
      </c>
      <c r="B40" s="15">
        <v>31653</v>
      </c>
      <c r="C40" s="15">
        <f t="shared" si="19"/>
        <v>32436</v>
      </c>
      <c r="D40" s="69">
        <f t="shared" si="23"/>
        <v>33230.682000000001</v>
      </c>
      <c r="E40" s="69">
        <f t="shared" si="24"/>
        <v>33327.99</v>
      </c>
      <c r="F40" s="70">
        <v>33327.99</v>
      </c>
      <c r="G40" s="71">
        <f t="shared" si="13"/>
        <v>33661.269899999999</v>
      </c>
      <c r="H40" s="71">
        <v>33661.269899999999</v>
      </c>
      <c r="I40" s="71">
        <v>33661.269899999999</v>
      </c>
      <c r="J40" s="72">
        <v>33661.269899999999</v>
      </c>
      <c r="K40" s="53">
        <f t="shared" si="25"/>
        <v>33997.882598999997</v>
      </c>
      <c r="L40" s="42">
        <f t="shared" si="20"/>
        <v>17.622294731020382</v>
      </c>
      <c r="M40" s="44">
        <f t="shared" si="21"/>
        <v>869.96678249999968</v>
      </c>
      <c r="N40" s="45">
        <f t="shared" si="22"/>
        <v>2.6523444915522359E-2</v>
      </c>
      <c r="P40" s="85">
        <f t="shared" si="14"/>
        <v>34745.836016178</v>
      </c>
      <c r="Q40" s="42">
        <f t="shared" si="4"/>
        <v>18.009985215102834</v>
      </c>
      <c r="R40" s="61">
        <f t="shared" si="15"/>
        <v>156.356262072801</v>
      </c>
      <c r="S40" s="61">
        <v>100</v>
      </c>
      <c r="T40" s="61">
        <f t="shared" si="18"/>
        <v>56.356262072801002</v>
      </c>
      <c r="U40" s="144">
        <f t="shared" si="7"/>
        <v>34745.836016178</v>
      </c>
      <c r="V40" s="146">
        <f t="shared" si="8"/>
        <v>18.009985215102834</v>
      </c>
      <c r="W40" s="133">
        <f t="shared" si="16"/>
        <v>34745.836016178</v>
      </c>
      <c r="X40" s="141">
        <f t="shared" si="8"/>
        <v>18.009985215102834</v>
      </c>
      <c r="Y40" s="147">
        <v>35093.294376339778</v>
      </c>
      <c r="Z40" s="139">
        <v>18.189736217263118</v>
      </c>
      <c r="AA40" s="150">
        <v>35444.227320103178</v>
      </c>
      <c r="AB40" s="149">
        <f t="shared" si="11"/>
        <v>18.371633579435748</v>
      </c>
      <c r="AC40" s="150">
        <v>36153</v>
      </c>
      <c r="AD40" s="149">
        <f t="shared" si="12"/>
        <v>18.739008267804081</v>
      </c>
      <c r="AE40" s="321"/>
      <c r="AF40" s="110"/>
      <c r="AG40" s="351"/>
      <c r="AH40" s="350"/>
      <c r="AI40" s="293"/>
      <c r="AJ40" s="259">
        <v>6.8000000000000005E-2</v>
      </c>
      <c r="AK40" s="259">
        <v>6.8000000000000005E-2</v>
      </c>
      <c r="AL40" s="364">
        <v>6.8000000000000005E-2</v>
      </c>
      <c r="AM40" s="348">
        <v>6.8000000000000005E-2</v>
      </c>
      <c r="AN40" s="302"/>
      <c r="AO40" s="303" t="s">
        <v>28</v>
      </c>
      <c r="AP40" s="34"/>
      <c r="AQ40" s="23"/>
      <c r="AR40" s="298"/>
      <c r="AS40" s="299"/>
      <c r="AT40" s="299"/>
      <c r="AU40" s="299"/>
      <c r="AV40" s="298"/>
      <c r="AW40" s="299"/>
    </row>
    <row r="41" spans="1:49" ht="12.75" customHeight="1">
      <c r="A41" s="135">
        <v>41</v>
      </c>
      <c r="B41" s="15">
        <v>32487</v>
      </c>
      <c r="C41" s="15">
        <f t="shared" si="19"/>
        <v>33291</v>
      </c>
      <c r="D41" s="69">
        <f t="shared" si="23"/>
        <v>34106.629500000003</v>
      </c>
      <c r="E41" s="69">
        <f t="shared" si="24"/>
        <v>34206.502500000002</v>
      </c>
      <c r="F41" s="70">
        <v>34206.502500000002</v>
      </c>
      <c r="G41" s="71">
        <f t="shared" si="13"/>
        <v>34548.567525000006</v>
      </c>
      <c r="H41" s="71">
        <v>34548.567525000006</v>
      </c>
      <c r="I41" s="71">
        <v>34548.567525000006</v>
      </c>
      <c r="J41" s="72">
        <v>34548.567525000006</v>
      </c>
      <c r="K41" s="53">
        <f t="shared" si="25"/>
        <v>34894.053200250004</v>
      </c>
      <c r="L41" s="42">
        <f t="shared" si="20"/>
        <v>18.086811379035627</v>
      </c>
      <c r="M41" s="44">
        <f t="shared" si="21"/>
        <v>896.17060125000717</v>
      </c>
      <c r="N41" s="45">
        <f t="shared" si="22"/>
        <v>2.6623196448390892E-2</v>
      </c>
      <c r="P41" s="85">
        <f t="shared" si="14"/>
        <v>35661.722370655501</v>
      </c>
      <c r="Q41" s="42">
        <f t="shared" si="4"/>
        <v>18.484721229374408</v>
      </c>
      <c r="R41" s="61">
        <f t="shared" si="15"/>
        <v>160.47775066794975</v>
      </c>
      <c r="S41" s="61">
        <v>100</v>
      </c>
      <c r="T41" s="61">
        <f t="shared" si="18"/>
        <v>60.477750667949749</v>
      </c>
      <c r="U41" s="144">
        <f t="shared" si="7"/>
        <v>35661.722370655501</v>
      </c>
      <c r="V41" s="146">
        <f t="shared" si="8"/>
        <v>18.484721229374408</v>
      </c>
      <c r="W41" s="133">
        <f t="shared" si="16"/>
        <v>35661.722370655501</v>
      </c>
      <c r="X41" s="141">
        <f t="shared" si="8"/>
        <v>18.484721229374408</v>
      </c>
      <c r="Y41" s="147">
        <v>36019</v>
      </c>
      <c r="Z41" s="139">
        <v>18.669552700966314</v>
      </c>
      <c r="AA41" s="150">
        <v>36379.19</v>
      </c>
      <c r="AB41" s="149">
        <f t="shared" si="11"/>
        <v>18.856248227975978</v>
      </c>
      <c r="AC41" s="150">
        <v>37107</v>
      </c>
      <c r="AD41" s="149">
        <f t="shared" si="12"/>
        <v>19.23349043767892</v>
      </c>
      <c r="AE41" s="321"/>
      <c r="AF41" s="110"/>
      <c r="AG41" s="351"/>
      <c r="AH41" s="350"/>
      <c r="AI41" s="259">
        <v>6.8000000000000005E-2</v>
      </c>
      <c r="AJ41" s="260"/>
      <c r="AK41" s="260"/>
      <c r="AL41" s="364"/>
      <c r="AM41" s="348"/>
      <c r="AO41" s="304"/>
      <c r="AP41" s="36"/>
      <c r="AQ41" s="37" t="s">
        <v>65</v>
      </c>
      <c r="AR41" s="299"/>
      <c r="AS41" s="299"/>
      <c r="AT41" s="299"/>
      <c r="AU41" s="299"/>
      <c r="AV41" s="299"/>
      <c r="AW41" s="299"/>
    </row>
    <row r="42" spans="1:49" ht="13.5" customHeight="1">
      <c r="A42" s="135">
        <v>42</v>
      </c>
      <c r="B42" s="15">
        <v>33315</v>
      </c>
      <c r="C42" s="15">
        <f t="shared" si="19"/>
        <v>34140</v>
      </c>
      <c r="D42" s="69">
        <f t="shared" si="23"/>
        <v>34976.43</v>
      </c>
      <c r="E42" s="69">
        <f t="shared" si="24"/>
        <v>35078.85</v>
      </c>
      <c r="F42" s="70">
        <v>35078.85</v>
      </c>
      <c r="G42" s="71">
        <f t="shared" si="13"/>
        <v>35429.638500000001</v>
      </c>
      <c r="H42" s="71">
        <v>35429.638500000001</v>
      </c>
      <c r="I42" s="71">
        <v>35429.638500000001</v>
      </c>
      <c r="J42" s="72">
        <v>35429.638500000001</v>
      </c>
      <c r="K42" s="53">
        <f t="shared" si="25"/>
        <v>35783.934885000002</v>
      </c>
      <c r="L42" s="42">
        <f t="shared" si="20"/>
        <v>18.548068261099885</v>
      </c>
      <c r="M42" s="44">
        <f t="shared" si="21"/>
        <v>889.88168474999839</v>
      </c>
      <c r="N42" s="45">
        <f t="shared" si="22"/>
        <v>2.5757411913129625E-2</v>
      </c>
      <c r="P42" s="85">
        <f t="shared" si="14"/>
        <v>36571.181452470002</v>
      </c>
      <c r="Q42" s="42">
        <f t="shared" si="4"/>
        <v>18.956125762844081</v>
      </c>
      <c r="R42" s="61">
        <f t="shared" si="15"/>
        <v>164.570316536115</v>
      </c>
      <c r="S42" s="61">
        <v>100</v>
      </c>
      <c r="T42" s="61">
        <f t="shared" si="18"/>
        <v>64.570316536115001</v>
      </c>
      <c r="U42" s="144">
        <f t="shared" si="7"/>
        <v>36571.181452470002</v>
      </c>
      <c r="V42" s="146">
        <f t="shared" si="8"/>
        <v>18.956125762844081</v>
      </c>
      <c r="W42" s="133">
        <f t="shared" si="16"/>
        <v>36571.181452470002</v>
      </c>
      <c r="X42" s="141">
        <f t="shared" si="8"/>
        <v>18.956125762844081</v>
      </c>
      <c r="Y42" s="147">
        <v>36936.893266994703</v>
      </c>
      <c r="Z42" s="139">
        <v>19.145319843919193</v>
      </c>
      <c r="AA42" s="150">
        <v>37306.262199664649</v>
      </c>
      <c r="AB42" s="149">
        <f t="shared" si="11"/>
        <v>19.336773042358381</v>
      </c>
      <c r="AC42" s="150">
        <v>38052</v>
      </c>
      <c r="AD42" s="149">
        <f t="shared" si="12"/>
        <v>19.723307681422863</v>
      </c>
      <c r="AE42" s="321"/>
      <c r="AF42" s="110"/>
      <c r="AG42" s="351"/>
      <c r="AH42" s="350"/>
      <c r="AI42" s="290"/>
      <c r="AJ42" s="260"/>
      <c r="AK42" s="260"/>
      <c r="AL42" s="364"/>
      <c r="AM42" s="348"/>
      <c r="AO42" s="304"/>
      <c r="AP42" s="23"/>
      <c r="AQ42" s="38"/>
      <c r="AR42" s="299"/>
      <c r="AS42" s="299"/>
      <c r="AT42" s="299"/>
      <c r="AU42" s="299"/>
      <c r="AV42" s="299"/>
      <c r="AW42" s="299"/>
    </row>
    <row r="43" spans="1:49" ht="12.75" customHeight="1">
      <c r="A43" s="135">
        <v>43</v>
      </c>
      <c r="B43" s="15">
        <v>34146</v>
      </c>
      <c r="C43" s="15">
        <f t="shared" si="19"/>
        <v>34991</v>
      </c>
      <c r="D43" s="69">
        <f t="shared" si="23"/>
        <v>35848.279499999997</v>
      </c>
      <c r="E43" s="69">
        <f t="shared" si="24"/>
        <v>35953.252500000002</v>
      </c>
      <c r="F43" s="70">
        <v>35953.252500000002</v>
      </c>
      <c r="G43" s="71">
        <f t="shared" ref="G43:G71" si="26">F43*1%+F43</f>
        <v>36312.785025000005</v>
      </c>
      <c r="H43" s="71">
        <v>36312.785025000005</v>
      </c>
      <c r="I43" s="71">
        <v>36312.785025000005</v>
      </c>
      <c r="J43" s="72">
        <v>36312.785025000005</v>
      </c>
      <c r="K43" s="53">
        <f t="shared" si="25"/>
        <v>36675.912875250004</v>
      </c>
      <c r="L43" s="42">
        <f t="shared" si="20"/>
        <v>19.010411731814475</v>
      </c>
      <c r="M43" s="44">
        <f t="shared" si="21"/>
        <v>891.97799025000131</v>
      </c>
      <c r="N43" s="45">
        <f t="shared" si="22"/>
        <v>2.5176039835969572E-2</v>
      </c>
      <c r="P43" s="85">
        <f t="shared" si="14"/>
        <v>37482.782958505508</v>
      </c>
      <c r="Q43" s="42">
        <f t="shared" si="4"/>
        <v>19.428640789914393</v>
      </c>
      <c r="R43" s="61">
        <f t="shared" si="15"/>
        <v>168.67252331327478</v>
      </c>
      <c r="S43" s="61">
        <v>100</v>
      </c>
      <c r="T43" s="61">
        <f t="shared" si="18"/>
        <v>68.67252331327478</v>
      </c>
      <c r="U43" s="144">
        <f t="shared" si="7"/>
        <v>37482.782958505508</v>
      </c>
      <c r="V43" s="146">
        <f t="shared" si="8"/>
        <v>19.428640789914393</v>
      </c>
      <c r="W43" s="133">
        <f t="shared" si="16"/>
        <v>37482.782958505508</v>
      </c>
      <c r="X43" s="141">
        <f t="shared" si="8"/>
        <v>19.428640789914393</v>
      </c>
      <c r="Y43" s="147">
        <v>37857.610788090562</v>
      </c>
      <c r="Z43" s="139">
        <v>19.622550868733935</v>
      </c>
      <c r="AA43" s="150">
        <v>38236.18689597147</v>
      </c>
      <c r="AB43" s="149">
        <f t="shared" si="11"/>
        <v>19.818776377421276</v>
      </c>
      <c r="AC43" s="150">
        <v>39002</v>
      </c>
      <c r="AD43" s="149">
        <f t="shared" si="12"/>
        <v>20.215716550795086</v>
      </c>
      <c r="AE43" s="321"/>
      <c r="AF43" s="110"/>
      <c r="AG43" s="351"/>
      <c r="AH43" s="350"/>
      <c r="AI43" s="290"/>
      <c r="AJ43" s="260"/>
      <c r="AK43" s="260"/>
      <c r="AL43" s="364"/>
      <c r="AM43" s="348"/>
      <c r="AN43" s="300" t="s">
        <v>29</v>
      </c>
      <c r="AO43" s="308"/>
      <c r="AP43" s="23"/>
      <c r="AQ43" s="38"/>
      <c r="AR43" s="298"/>
      <c r="AS43" s="299"/>
      <c r="AT43" s="299"/>
      <c r="AU43" s="299"/>
      <c r="AV43" s="299"/>
      <c r="AW43" s="299"/>
    </row>
    <row r="44" spans="1:49">
      <c r="A44" s="135">
        <v>44</v>
      </c>
      <c r="B44" s="15">
        <v>34986</v>
      </c>
      <c r="C44" s="15">
        <f t="shared" si="19"/>
        <v>35852</v>
      </c>
      <c r="D44" s="69">
        <f t="shared" si="23"/>
        <v>36730.374000000003</v>
      </c>
      <c r="E44" s="69">
        <f t="shared" si="24"/>
        <v>36837.93</v>
      </c>
      <c r="F44" s="70">
        <v>36837.93</v>
      </c>
      <c r="G44" s="71">
        <f t="shared" si="26"/>
        <v>37206.309300000001</v>
      </c>
      <c r="H44" s="71">
        <v>37206.309300000001</v>
      </c>
      <c r="I44" s="71">
        <v>37206.309300000001</v>
      </c>
      <c r="J44" s="72">
        <v>37206.309300000001</v>
      </c>
      <c r="K44" s="53">
        <f t="shared" si="25"/>
        <v>37578.372392999998</v>
      </c>
      <c r="L44" s="42">
        <f t="shared" si="20"/>
        <v>19.478188145780699</v>
      </c>
      <c r="M44" s="44">
        <f t="shared" si="21"/>
        <v>902.45951774999412</v>
      </c>
      <c r="N44" s="45">
        <f t="shared" si="22"/>
        <v>2.4852390614729335E-2</v>
      </c>
      <c r="P44" s="85">
        <f t="shared" si="14"/>
        <v>38405.096585645995</v>
      </c>
      <c r="Q44" s="42">
        <f t="shared" si="4"/>
        <v>19.906708284987872</v>
      </c>
      <c r="R44" s="61">
        <f t="shared" si="15"/>
        <v>172.82293463540697</v>
      </c>
      <c r="S44" s="61">
        <v>100</v>
      </c>
      <c r="T44" s="61">
        <f t="shared" si="18"/>
        <v>72.822934635406966</v>
      </c>
      <c r="U44" s="144">
        <f t="shared" si="7"/>
        <v>38405.096585645995</v>
      </c>
      <c r="V44" s="146">
        <f t="shared" si="8"/>
        <v>19.906708284987872</v>
      </c>
      <c r="W44" s="133">
        <f t="shared" si="16"/>
        <v>38405.096585645995</v>
      </c>
      <c r="X44" s="141">
        <f t="shared" si="8"/>
        <v>19.906708284987872</v>
      </c>
      <c r="Y44" s="147">
        <v>38789.147551502458</v>
      </c>
      <c r="Z44" s="139">
        <v>20.105389778681626</v>
      </c>
      <c r="AA44" s="150">
        <v>39177.039027017483</v>
      </c>
      <c r="AB44" s="149">
        <f t="shared" si="11"/>
        <v>20.306443676468447</v>
      </c>
      <c r="AC44" s="150">
        <v>39961</v>
      </c>
      <c r="AD44" s="149">
        <f t="shared" si="12"/>
        <v>20.712790346298199</v>
      </c>
      <c r="AE44" s="321"/>
      <c r="AF44" s="110"/>
      <c r="AG44" s="351"/>
      <c r="AH44" s="350"/>
      <c r="AI44" s="290"/>
      <c r="AJ44" s="260"/>
      <c r="AK44" s="260"/>
      <c r="AL44" s="364"/>
      <c r="AM44" s="348"/>
      <c r="AN44" s="301"/>
      <c r="AO44" s="127"/>
      <c r="AP44" s="37" t="s">
        <v>66</v>
      </c>
      <c r="AQ44" s="36"/>
      <c r="AR44" s="299"/>
      <c r="AS44" s="299"/>
      <c r="AT44" s="299"/>
      <c r="AU44" s="299"/>
      <c r="AV44" s="299"/>
      <c r="AW44" s="299"/>
    </row>
    <row r="45" spans="1:49">
      <c r="A45" s="135">
        <v>45</v>
      </c>
      <c r="B45" s="15">
        <v>35772</v>
      </c>
      <c r="C45" s="15">
        <f t="shared" si="19"/>
        <v>36657</v>
      </c>
      <c r="D45" s="69">
        <f t="shared" si="23"/>
        <v>37555.0965</v>
      </c>
      <c r="E45" s="69">
        <f t="shared" si="24"/>
        <v>37665.067499999997</v>
      </c>
      <c r="F45" s="70">
        <v>37665.067499999997</v>
      </c>
      <c r="G45" s="71">
        <f t="shared" si="26"/>
        <v>38041.718174999995</v>
      </c>
      <c r="H45" s="71">
        <v>38041.718174999995</v>
      </c>
      <c r="I45" s="71">
        <v>38041.718174999995</v>
      </c>
      <c r="J45" s="72">
        <v>38041.718174999995</v>
      </c>
      <c r="K45" s="53">
        <f t="shared" si="25"/>
        <v>38422.135356749997</v>
      </c>
      <c r="L45" s="42">
        <f t="shared" si="20"/>
        <v>19.915540077537742</v>
      </c>
      <c r="M45" s="44">
        <f t="shared" si="21"/>
        <v>843.76296374999947</v>
      </c>
      <c r="N45" s="45">
        <f t="shared" si="22"/>
        <v>2.2677953810108207E-2</v>
      </c>
      <c r="P45" s="85">
        <f t="shared" si="14"/>
        <v>39267.422334598501</v>
      </c>
      <c r="Q45" s="42">
        <f t="shared" si="4"/>
        <v>20.353681959243573</v>
      </c>
      <c r="R45" s="61">
        <f t="shared" si="15"/>
        <v>176.70340050569325</v>
      </c>
      <c r="S45" s="61">
        <v>100</v>
      </c>
      <c r="T45" s="61">
        <f t="shared" si="18"/>
        <v>76.703400505693253</v>
      </c>
      <c r="U45" s="144">
        <f t="shared" si="7"/>
        <v>39267.422334598501</v>
      </c>
      <c r="V45" s="146">
        <f t="shared" si="8"/>
        <v>20.353681959243573</v>
      </c>
      <c r="W45" s="133">
        <f t="shared" si="16"/>
        <v>39267.422334598501</v>
      </c>
      <c r="X45" s="141">
        <f t="shared" si="8"/>
        <v>20.353681959243573</v>
      </c>
      <c r="Y45" s="147">
        <v>39660.096557944489</v>
      </c>
      <c r="Z45" s="139">
        <v>20.556824531884764</v>
      </c>
      <c r="AA45" s="150">
        <v>40056.697523523937</v>
      </c>
      <c r="AB45" s="149">
        <f t="shared" si="11"/>
        <v>20.762392777203615</v>
      </c>
      <c r="AC45" s="150">
        <v>40858</v>
      </c>
      <c r="AD45" s="149">
        <f t="shared" si="12"/>
        <v>21.177727984010708</v>
      </c>
      <c r="AE45" s="321"/>
      <c r="AF45" s="110"/>
      <c r="AG45" s="351"/>
      <c r="AH45" s="350"/>
      <c r="AI45" s="290"/>
      <c r="AJ45" s="260"/>
      <c r="AK45" s="260"/>
      <c r="AL45" s="364"/>
      <c r="AM45" s="348"/>
      <c r="AN45" s="301"/>
      <c r="AP45" s="34"/>
      <c r="AQ45" s="23"/>
      <c r="AR45" s="299"/>
      <c r="AS45" s="299"/>
      <c r="AT45" s="299"/>
      <c r="AU45" s="299"/>
      <c r="AV45" s="21"/>
      <c r="AW45" s="21"/>
    </row>
    <row r="46" spans="1:49" ht="12.75" customHeight="1">
      <c r="A46" s="135">
        <v>46</v>
      </c>
      <c r="B46" s="15">
        <v>36636</v>
      </c>
      <c r="C46" s="15">
        <f t="shared" si="19"/>
        <v>37543</v>
      </c>
      <c r="D46" s="69">
        <f t="shared" si="23"/>
        <v>38462.803500000002</v>
      </c>
      <c r="E46" s="69">
        <f t="shared" si="24"/>
        <v>38575.432500000003</v>
      </c>
      <c r="F46" s="70">
        <v>38575.432500000003</v>
      </c>
      <c r="G46" s="71">
        <f t="shared" si="26"/>
        <v>38961.186825000004</v>
      </c>
      <c r="H46" s="71">
        <v>38961.186825000004</v>
      </c>
      <c r="I46" s="71">
        <v>38961.186825000004</v>
      </c>
      <c r="J46" s="72">
        <v>38961.186825000004</v>
      </c>
      <c r="K46" s="53">
        <f t="shared" si="25"/>
        <v>39350.798693250006</v>
      </c>
      <c r="L46" s="42">
        <f t="shared" si="20"/>
        <v>20.396898849633075</v>
      </c>
      <c r="M46" s="44">
        <f t="shared" si="21"/>
        <v>928.66333650000888</v>
      </c>
      <c r="N46" s="45">
        <f t="shared" si="22"/>
        <v>2.4411708541342954E-2</v>
      </c>
      <c r="P46" s="85">
        <f t="shared" si="14"/>
        <v>40216.516264501508</v>
      </c>
      <c r="Q46" s="42">
        <f t="shared" si="4"/>
        <v>20.845630624325</v>
      </c>
      <c r="R46" s="61">
        <f t="shared" si="15"/>
        <v>180.97432319025677</v>
      </c>
      <c r="S46" s="61">
        <v>100</v>
      </c>
      <c r="T46" s="61">
        <f t="shared" si="18"/>
        <v>80.974323190256769</v>
      </c>
      <c r="U46" s="144">
        <f t="shared" si="7"/>
        <v>40216.516264501508</v>
      </c>
      <c r="V46" s="146">
        <f t="shared" si="8"/>
        <v>20.845630624325</v>
      </c>
      <c r="W46" s="133">
        <f t="shared" si="16"/>
        <v>40216.516264501508</v>
      </c>
      <c r="X46" s="141">
        <f t="shared" si="8"/>
        <v>20.845630624325</v>
      </c>
      <c r="Y46" s="147">
        <v>40618.681427146526</v>
      </c>
      <c r="Z46" s="139">
        <v>21.05368315466486</v>
      </c>
      <c r="AA46" s="150">
        <v>41024.868241417993</v>
      </c>
      <c r="AB46" s="149">
        <f t="shared" si="11"/>
        <v>21.264219986211511</v>
      </c>
      <c r="AC46" s="150">
        <v>41846</v>
      </c>
      <c r="AD46" s="149">
        <f t="shared" si="12"/>
        <v>21.689833208157815</v>
      </c>
      <c r="AE46" s="321"/>
      <c r="AF46" s="110"/>
      <c r="AG46" s="351"/>
      <c r="AH46" s="350"/>
      <c r="AI46" s="290"/>
      <c r="AJ46" s="260"/>
      <c r="AK46" s="260"/>
      <c r="AL46" s="364"/>
      <c r="AM46" s="348"/>
      <c r="AN46" s="302"/>
      <c r="AO46" s="303" t="s">
        <v>30</v>
      </c>
      <c r="AP46" s="38"/>
      <c r="AQ46" s="37" t="s">
        <v>67</v>
      </c>
      <c r="AR46" s="299"/>
      <c r="AS46" s="299"/>
      <c r="AT46" s="299"/>
      <c r="AU46" s="299"/>
      <c r="AV46" s="298"/>
      <c r="AW46" s="299"/>
    </row>
    <row r="47" spans="1:49" ht="13.15" customHeight="1">
      <c r="A47" s="135">
        <v>47</v>
      </c>
      <c r="B47" s="15">
        <v>37476</v>
      </c>
      <c r="C47" s="15">
        <f t="shared" si="19"/>
        <v>38404</v>
      </c>
      <c r="D47" s="69">
        <f t="shared" si="23"/>
        <v>39344.898000000001</v>
      </c>
      <c r="E47" s="69">
        <f t="shared" si="24"/>
        <v>39460.11</v>
      </c>
      <c r="F47" s="70">
        <v>39460.11</v>
      </c>
      <c r="G47" s="71">
        <f t="shared" si="26"/>
        <v>39854.7111</v>
      </c>
      <c r="H47" s="71">
        <v>39854.7111</v>
      </c>
      <c r="I47" s="71">
        <v>39854.7111</v>
      </c>
      <c r="J47" s="72">
        <v>39854.7111</v>
      </c>
      <c r="K47" s="53">
        <v>40254</v>
      </c>
      <c r="L47" s="42">
        <f t="shared" si="20"/>
        <v>20.865059758849792</v>
      </c>
      <c r="M47" s="44">
        <f t="shared" si="21"/>
        <v>903.20130674999382</v>
      </c>
      <c r="N47" s="45">
        <f t="shared" si="22"/>
        <v>2.3182078893203575E-2</v>
      </c>
      <c r="P47" s="85">
        <f t="shared" si="14"/>
        <v>41139.588000000003</v>
      </c>
      <c r="Q47" s="42">
        <f t="shared" si="4"/>
        <v>21.324091073544491</v>
      </c>
      <c r="R47" s="61">
        <f t="shared" si="15"/>
        <v>185.12814600000002</v>
      </c>
      <c r="S47" s="61">
        <v>100</v>
      </c>
      <c r="T47" s="61">
        <f t="shared" si="18"/>
        <v>85.128146000000015</v>
      </c>
      <c r="U47" s="144">
        <f t="shared" si="7"/>
        <v>41139.588000000003</v>
      </c>
      <c r="V47" s="146">
        <f t="shared" si="8"/>
        <v>21.324091073544491</v>
      </c>
      <c r="W47" s="133">
        <f t="shared" si="16"/>
        <v>41139.588000000003</v>
      </c>
      <c r="X47" s="141">
        <f t="shared" si="8"/>
        <v>21.324091073544491</v>
      </c>
      <c r="Y47" s="147">
        <v>41550.98388</v>
      </c>
      <c r="Z47" s="139">
        <v>21.536918940688576</v>
      </c>
      <c r="AA47" s="150">
        <v>41967</v>
      </c>
      <c r="AB47" s="149">
        <f t="shared" si="11"/>
        <v>21.752550548362066</v>
      </c>
      <c r="AC47" s="150">
        <v>42806</v>
      </c>
      <c r="AD47" s="149">
        <f t="shared" si="12"/>
        <v>22.187425328786585</v>
      </c>
      <c r="AE47" s="321"/>
      <c r="AF47" s="110"/>
      <c r="AG47" s="351"/>
      <c r="AH47" s="350"/>
      <c r="AI47" s="290"/>
      <c r="AJ47" s="260"/>
      <c r="AK47" s="260"/>
      <c r="AL47" s="364"/>
      <c r="AM47" s="348"/>
      <c r="AO47" s="304"/>
      <c r="AP47" s="36"/>
      <c r="AQ47" s="38"/>
      <c r="AR47" s="298"/>
      <c r="AS47" s="299"/>
      <c r="AT47" s="299"/>
      <c r="AU47" s="299"/>
      <c r="AV47" s="299"/>
      <c r="AW47" s="299"/>
    </row>
    <row r="48" spans="1:49">
      <c r="A48" s="135">
        <v>48</v>
      </c>
      <c r="B48" s="15">
        <v>38310</v>
      </c>
      <c r="C48" s="15">
        <f t="shared" si="19"/>
        <v>39258</v>
      </c>
      <c r="D48" s="69">
        <f t="shared" si="23"/>
        <v>40219.821000000004</v>
      </c>
      <c r="E48" s="69">
        <f t="shared" si="24"/>
        <v>40337.595000000001</v>
      </c>
      <c r="F48" s="70">
        <v>40337.595000000001</v>
      </c>
      <c r="G48" s="71">
        <f t="shared" si="26"/>
        <v>40740.970950000003</v>
      </c>
      <c r="H48" s="71">
        <v>40740.970950000003</v>
      </c>
      <c r="I48" s="71">
        <v>40740.970950000003</v>
      </c>
      <c r="J48" s="72">
        <v>40740.970950000003</v>
      </c>
      <c r="K48" s="53">
        <f t="shared" ref="K48:K71" si="27">J48*1%+J48</f>
        <v>41148.380659500006</v>
      </c>
      <c r="L48" s="42">
        <f t="shared" si="20"/>
        <v>21.328648617289378</v>
      </c>
      <c r="M48" s="44">
        <f t="shared" si="21"/>
        <v>894.380659500006</v>
      </c>
      <c r="N48" s="45">
        <f t="shared" si="22"/>
        <v>2.2441027291752368E-2</v>
      </c>
      <c r="P48" s="85">
        <f t="shared" si="14"/>
        <v>42053.645034009009</v>
      </c>
      <c r="Q48" s="42">
        <f t="shared" si="4"/>
        <v>21.797878886869746</v>
      </c>
      <c r="R48" s="61">
        <f t="shared" si="15"/>
        <v>189.24140265304052</v>
      </c>
      <c r="S48" s="61">
        <v>100</v>
      </c>
      <c r="T48" s="61">
        <f t="shared" si="18"/>
        <v>89.241402653040524</v>
      </c>
      <c r="U48" s="144">
        <f t="shared" si="7"/>
        <v>42053.645034009009</v>
      </c>
      <c r="V48" s="146">
        <f t="shared" si="8"/>
        <v>21.797878886869746</v>
      </c>
      <c r="W48" s="133">
        <f t="shared" si="16"/>
        <v>42053.645034009009</v>
      </c>
      <c r="X48" s="141">
        <f t="shared" si="8"/>
        <v>21.797878886869746</v>
      </c>
      <c r="Y48" s="147">
        <v>42474.181484349101</v>
      </c>
      <c r="Z48" s="139">
        <v>22.015435454967189</v>
      </c>
      <c r="AA48" s="150">
        <v>42898.923299192589</v>
      </c>
      <c r="AB48" s="149">
        <f t="shared" si="11"/>
        <v>22.235589809516856</v>
      </c>
      <c r="AC48" s="150">
        <v>43757</v>
      </c>
      <c r="AD48" s="149">
        <f t="shared" si="12"/>
        <v>22.680352523284462</v>
      </c>
      <c r="AE48" s="321"/>
      <c r="AF48" s="110"/>
      <c r="AG48" s="351"/>
      <c r="AH48" s="350"/>
      <c r="AI48" s="290"/>
      <c r="AJ48" s="260"/>
      <c r="AK48" s="260"/>
      <c r="AL48" s="364"/>
      <c r="AM48" s="348"/>
      <c r="AO48" s="304"/>
      <c r="AP48" s="23"/>
      <c r="AQ48" s="38"/>
      <c r="AR48" s="299"/>
      <c r="AS48" s="299"/>
      <c r="AT48" s="299"/>
      <c r="AU48" s="299"/>
      <c r="AV48" s="299"/>
      <c r="AW48" s="299"/>
    </row>
    <row r="49" spans="1:49" ht="12.75" customHeight="1">
      <c r="A49" s="135">
        <v>49</v>
      </c>
      <c r="B49" s="15">
        <v>39132</v>
      </c>
      <c r="C49" s="15">
        <f t="shared" si="19"/>
        <v>40101</v>
      </c>
      <c r="D49" s="69">
        <f t="shared" si="23"/>
        <v>41083.474499999997</v>
      </c>
      <c r="E49" s="69">
        <f t="shared" si="24"/>
        <v>41203.777499999997</v>
      </c>
      <c r="F49" s="70">
        <v>41203.777499999997</v>
      </c>
      <c r="G49" s="71">
        <f t="shared" si="26"/>
        <v>41615.815274999994</v>
      </c>
      <c r="H49" s="71">
        <v>41615.815274999994</v>
      </c>
      <c r="I49" s="71">
        <v>41615.815274999994</v>
      </c>
      <c r="J49" s="72">
        <v>41615.815274999994</v>
      </c>
      <c r="K49" s="53">
        <f t="shared" si="27"/>
        <v>42031.973427749996</v>
      </c>
      <c r="L49" s="42">
        <f t="shared" si="20"/>
        <v>21.786645733402647</v>
      </c>
      <c r="M49" s="44">
        <f t="shared" si="21"/>
        <v>883.5927682499896</v>
      </c>
      <c r="N49" s="45">
        <f t="shared" si="22"/>
        <v>2.1688063579397572E-2</v>
      </c>
      <c r="P49" s="85">
        <f t="shared" si="14"/>
        <v>42956.676843160494</v>
      </c>
      <c r="Q49" s="42">
        <f t="shared" si="4"/>
        <v>22.265951939537505</v>
      </c>
      <c r="R49" s="61">
        <f t="shared" si="15"/>
        <v>193.3050457942222</v>
      </c>
      <c r="S49" s="61">
        <v>100</v>
      </c>
      <c r="T49" s="61">
        <f t="shared" si="18"/>
        <v>93.305045794222195</v>
      </c>
      <c r="U49" s="144">
        <f t="shared" si="7"/>
        <v>42956.676843160494</v>
      </c>
      <c r="V49" s="146">
        <f t="shared" si="8"/>
        <v>22.265951939537505</v>
      </c>
      <c r="W49" s="133">
        <f t="shared" si="16"/>
        <v>42956.676843160494</v>
      </c>
      <c r="X49" s="141">
        <f t="shared" si="8"/>
        <v>22.265951939537505</v>
      </c>
      <c r="Y49" s="147">
        <v>43387</v>
      </c>
      <c r="Z49" s="139">
        <v>22.488572226792122</v>
      </c>
      <c r="AA49" s="150">
        <v>43820.87</v>
      </c>
      <c r="AB49" s="149">
        <f t="shared" si="11"/>
        <v>22.713457949060047</v>
      </c>
      <c r="AC49" s="150">
        <v>44697</v>
      </c>
      <c r="AD49" s="149">
        <f t="shared" si="12"/>
        <v>23.167578141400131</v>
      </c>
      <c r="AE49" s="321"/>
      <c r="AF49" s="102"/>
      <c r="AG49" s="351"/>
      <c r="AH49" s="350"/>
      <c r="AI49" s="290"/>
      <c r="AJ49" s="260"/>
      <c r="AK49" s="260"/>
      <c r="AL49" s="364"/>
      <c r="AM49" s="348"/>
      <c r="AO49" s="305"/>
      <c r="AP49" s="23"/>
      <c r="AQ49" s="36"/>
      <c r="AR49" s="299"/>
      <c r="AS49" s="299"/>
      <c r="AT49" s="299"/>
      <c r="AU49" s="299"/>
      <c r="AV49" s="299"/>
      <c r="AW49" s="299"/>
    </row>
    <row r="50" spans="1:49" ht="12.75" customHeight="1">
      <c r="A50" s="135">
        <v>50</v>
      </c>
      <c r="B50" s="15">
        <v>39500</v>
      </c>
      <c r="C50" s="15">
        <f t="shared" si="19"/>
        <v>40478</v>
      </c>
      <c r="D50" s="69">
        <f t="shared" si="23"/>
        <v>41469.711000000003</v>
      </c>
      <c r="E50" s="69">
        <f t="shared" si="24"/>
        <v>41591.144999999997</v>
      </c>
      <c r="F50" s="70">
        <v>41591.144999999997</v>
      </c>
      <c r="G50" s="71">
        <f t="shared" si="26"/>
        <v>42007.056449999996</v>
      </c>
      <c r="H50" s="71">
        <v>42007.056449999996</v>
      </c>
      <c r="I50" s="71">
        <v>42007.056449999996</v>
      </c>
      <c r="J50" s="72">
        <v>42007.056449999996</v>
      </c>
      <c r="K50" s="53">
        <f t="shared" si="27"/>
        <v>42427.127014499994</v>
      </c>
      <c r="L50" s="42">
        <f t="shared" si="20"/>
        <v>21.991467693989485</v>
      </c>
      <c r="M50" s="44">
        <f t="shared" si="21"/>
        <v>395.15358674999879</v>
      </c>
      <c r="N50" s="45">
        <f t="shared" si="22"/>
        <v>9.4952744320590237E-3</v>
      </c>
      <c r="P50" s="85">
        <f t="shared" si="14"/>
        <v>43360.523808818994</v>
      </c>
      <c r="Q50" s="42">
        <f t="shared" si="4"/>
        <v>22.475279983257256</v>
      </c>
      <c r="R50" s="61">
        <f t="shared" ref="R50:R71" si="28">SUM(P50*0.0045)</f>
        <v>195.12235713968545</v>
      </c>
      <c r="S50" s="61">
        <v>100</v>
      </c>
      <c r="T50" s="61">
        <f t="shared" ref="T50:T71" si="29">SUM(R50-S50)</f>
        <v>95.122357139685448</v>
      </c>
      <c r="U50" s="144">
        <f t="shared" si="7"/>
        <v>43360.523808818994</v>
      </c>
      <c r="V50" s="146">
        <f t="shared" si="8"/>
        <v>22.475279983257256</v>
      </c>
      <c r="W50" s="133">
        <f t="shared" si="16"/>
        <v>43360.523808818994</v>
      </c>
      <c r="X50" s="141">
        <f t="shared" si="8"/>
        <v>22.475279983257256</v>
      </c>
      <c r="Y50" s="147">
        <v>43794.129046907183</v>
      </c>
      <c r="Z50" s="139">
        <v>22.699597441188075</v>
      </c>
      <c r="AA50" s="150">
        <v>44232.070337376252</v>
      </c>
      <c r="AB50" s="149">
        <f t="shared" si="11"/>
        <v>22.926593415599953</v>
      </c>
      <c r="AC50" s="150">
        <f>AA50*1.02</f>
        <v>45116.711744123779</v>
      </c>
      <c r="AD50" s="149">
        <f t="shared" si="12"/>
        <v>23.385125283911954</v>
      </c>
      <c r="AE50" s="286" t="s">
        <v>0</v>
      </c>
      <c r="AF50" s="103"/>
      <c r="AG50" s="294" t="s">
        <v>120</v>
      </c>
      <c r="AH50" s="350"/>
      <c r="AI50" s="290"/>
      <c r="AJ50" s="261"/>
      <c r="AK50" s="261"/>
      <c r="AL50" s="365"/>
      <c r="AM50" s="349">
        <v>8.5000000000000006E-2</v>
      </c>
      <c r="AN50" s="300" t="s">
        <v>31</v>
      </c>
      <c r="AP50" s="23"/>
      <c r="AQ50" s="23"/>
      <c r="AR50" s="299"/>
      <c r="AS50" s="299"/>
      <c r="AT50" s="299"/>
      <c r="AU50" s="299"/>
      <c r="AV50" s="299"/>
      <c r="AW50" s="299"/>
    </row>
    <row r="51" spans="1:49" ht="12.75" customHeight="1">
      <c r="A51" s="135">
        <v>51</v>
      </c>
      <c r="B51" s="15">
        <v>41833</v>
      </c>
      <c r="C51" s="15">
        <f t="shared" si="19"/>
        <v>42868</v>
      </c>
      <c r="D51" s="69">
        <f t="shared" si="23"/>
        <v>43918.266000000003</v>
      </c>
      <c r="E51" s="69">
        <f t="shared" si="24"/>
        <v>44046.87</v>
      </c>
      <c r="F51" s="70">
        <v>44046.87</v>
      </c>
      <c r="G51" s="71">
        <f t="shared" si="26"/>
        <v>44487.3387</v>
      </c>
      <c r="H51" s="71">
        <v>44487.3387</v>
      </c>
      <c r="I51" s="71">
        <v>44487.3387</v>
      </c>
      <c r="J51" s="72">
        <v>44487.3387</v>
      </c>
      <c r="K51" s="53">
        <f t="shared" si="27"/>
        <v>44932.212087</v>
      </c>
      <c r="L51" s="42">
        <f t="shared" si="20"/>
        <v>23.289941131131513</v>
      </c>
      <c r="M51" s="44">
        <f t="shared" si="21"/>
        <v>2505.0850725000055</v>
      </c>
      <c r="N51" s="45">
        <f t="shared" si="22"/>
        <v>5.9634863382578326E-2</v>
      </c>
      <c r="P51" s="85">
        <f t="shared" si="14"/>
        <v>45920.720752914</v>
      </c>
      <c r="Q51" s="42">
        <f t="shared" si="4"/>
        <v>23.802319836016405</v>
      </c>
      <c r="R51" s="61">
        <f t="shared" si="28"/>
        <v>206.64324338811298</v>
      </c>
      <c r="S51" s="61">
        <v>100</v>
      </c>
      <c r="T51" s="61">
        <f t="shared" si="29"/>
        <v>106.64324338811298</v>
      </c>
      <c r="U51" s="144">
        <f t="shared" si="7"/>
        <v>45920.720752914</v>
      </c>
      <c r="V51" s="146">
        <f t="shared" si="8"/>
        <v>23.802319836016405</v>
      </c>
      <c r="W51" s="133">
        <f t="shared" si="16"/>
        <v>45920.720752914</v>
      </c>
      <c r="X51" s="141">
        <f t="shared" si="8"/>
        <v>23.802319836016405</v>
      </c>
      <c r="Y51" s="147">
        <v>46379.927960443143</v>
      </c>
      <c r="Z51" s="139">
        <v>24.039881987965085</v>
      </c>
      <c r="AA51" s="150">
        <v>46843.727240047578</v>
      </c>
      <c r="AB51" s="149">
        <f t="shared" si="11"/>
        <v>24.280280807844736</v>
      </c>
      <c r="AC51" s="150">
        <f t="shared" ref="AC51:AC75" si="30">AA51*1.02</f>
        <v>47780.601784848528</v>
      </c>
      <c r="AD51" s="149">
        <f t="shared" si="12"/>
        <v>24.765886424001629</v>
      </c>
      <c r="AE51" s="286"/>
      <c r="AF51" s="103"/>
      <c r="AG51" s="294"/>
      <c r="AH51" s="296" t="s">
        <v>289</v>
      </c>
      <c r="AI51" s="291"/>
      <c r="AJ51" s="262">
        <v>8.5000000000000006E-2</v>
      </c>
      <c r="AK51" s="262">
        <v>8.5000000000000006E-2</v>
      </c>
      <c r="AL51" s="262">
        <v>8.5000000000000006E-2</v>
      </c>
      <c r="AM51" s="349"/>
      <c r="AN51" s="301"/>
      <c r="AP51" s="23"/>
      <c r="AQ51" s="23"/>
      <c r="AR51" s="298"/>
      <c r="AS51" s="299"/>
      <c r="AT51" s="299"/>
      <c r="AU51" s="299"/>
      <c r="AV51" s="21"/>
      <c r="AW51" s="21"/>
    </row>
    <row r="52" spans="1:49" ht="13.5" customHeight="1">
      <c r="A52" s="135">
        <v>52</v>
      </c>
      <c r="B52" s="15">
        <v>44167</v>
      </c>
      <c r="C52" s="15">
        <f t="shared" si="19"/>
        <v>45260</v>
      </c>
      <c r="D52" s="69">
        <f t="shared" si="23"/>
        <v>46368.87</v>
      </c>
      <c r="E52" s="69">
        <f t="shared" si="24"/>
        <v>46504.65</v>
      </c>
      <c r="F52" s="70">
        <v>46504.65</v>
      </c>
      <c r="G52" s="71">
        <f t="shared" si="26"/>
        <v>46969.696499999998</v>
      </c>
      <c r="H52" s="71">
        <v>46969.696499999998</v>
      </c>
      <c r="I52" s="71">
        <v>46969.696499999998</v>
      </c>
      <c r="J52" s="72">
        <v>46969.696499999998</v>
      </c>
      <c r="K52" s="53">
        <f t="shared" si="27"/>
        <v>47439.393465000001</v>
      </c>
      <c r="L52" s="42">
        <f t="shared" si="20"/>
        <v>24.589501156923866</v>
      </c>
      <c r="M52" s="44">
        <f t="shared" si="21"/>
        <v>2507.1813780000011</v>
      </c>
      <c r="N52" s="45">
        <f t="shared" si="22"/>
        <v>5.635718951199032E-2</v>
      </c>
      <c r="P52" s="85">
        <f t="shared" si="14"/>
        <v>48483.060121230003</v>
      </c>
      <c r="Q52" s="42">
        <f t="shared" si="4"/>
        <v>25.130470182376193</v>
      </c>
      <c r="R52" s="61">
        <f t="shared" si="28"/>
        <v>218.17377054553501</v>
      </c>
      <c r="S52" s="61">
        <v>100</v>
      </c>
      <c r="T52" s="61">
        <f t="shared" si="29"/>
        <v>118.17377054553501</v>
      </c>
      <c r="U52" s="144">
        <f t="shared" si="7"/>
        <v>48483.060121230003</v>
      </c>
      <c r="V52" s="146">
        <f t="shared" si="8"/>
        <v>25.130470182376193</v>
      </c>
      <c r="W52" s="133">
        <f t="shared" si="16"/>
        <v>48483.060121230003</v>
      </c>
      <c r="X52" s="141">
        <f t="shared" si="8"/>
        <v>25.130470182376193</v>
      </c>
      <c r="Y52" s="147">
        <v>48967.890722442302</v>
      </c>
      <c r="Z52" s="139">
        <v>25.381288111768676</v>
      </c>
      <c r="AA52" s="150">
        <v>49457.569629666723</v>
      </c>
      <c r="AB52" s="149">
        <f t="shared" si="11"/>
        <v>25.635100992886361</v>
      </c>
      <c r="AC52" s="150">
        <f t="shared" si="30"/>
        <v>50446.721022260055</v>
      </c>
      <c r="AD52" s="149">
        <f t="shared" si="12"/>
        <v>26.147803012744088</v>
      </c>
      <c r="AE52" s="286"/>
      <c r="AF52" s="103"/>
      <c r="AG52" s="294"/>
      <c r="AH52" s="297"/>
      <c r="AI52" s="361">
        <v>7.1999999999999995E-2</v>
      </c>
      <c r="AJ52" s="263"/>
      <c r="AK52" s="263"/>
      <c r="AL52" s="263"/>
      <c r="AM52" s="349"/>
      <c r="AN52" s="301"/>
      <c r="AP52" s="23"/>
      <c r="AQ52" s="23"/>
      <c r="AR52" s="299"/>
      <c r="AS52" s="299"/>
      <c r="AT52" s="299"/>
      <c r="AU52" s="299"/>
      <c r="AV52" s="21"/>
      <c r="AW52" s="21"/>
    </row>
    <row r="53" spans="1:49">
      <c r="A53" s="135">
        <v>53</v>
      </c>
      <c r="B53" s="15">
        <v>46500</v>
      </c>
      <c r="C53" s="15">
        <f t="shared" si="19"/>
        <v>47651</v>
      </c>
      <c r="D53" s="69">
        <f t="shared" si="23"/>
        <v>48818.449500000002</v>
      </c>
      <c r="E53" s="69">
        <f t="shared" si="24"/>
        <v>48961.402499999997</v>
      </c>
      <c r="F53" s="70">
        <v>48961.402499999997</v>
      </c>
      <c r="G53" s="71">
        <f t="shared" si="26"/>
        <v>49451.016524999999</v>
      </c>
      <c r="H53" s="71">
        <v>49451.016524999999</v>
      </c>
      <c r="I53" s="71">
        <v>49451.016524999999</v>
      </c>
      <c r="J53" s="72">
        <v>49451.016524999999</v>
      </c>
      <c r="K53" s="53">
        <f t="shared" si="27"/>
        <v>49945.526690250001</v>
      </c>
      <c r="L53" s="42">
        <f t="shared" si="20"/>
        <v>25.888517888391053</v>
      </c>
      <c r="M53" s="44">
        <f t="shared" si="21"/>
        <v>2506.1332252499997</v>
      </c>
      <c r="N53" s="45">
        <f t="shared" si="22"/>
        <v>5.3356385329209007E-2</v>
      </c>
      <c r="P53" s="85">
        <f t="shared" si="14"/>
        <v>51044.328277435503</v>
      </c>
      <c r="Q53" s="42">
        <f t="shared" si="4"/>
        <v>26.45806528193566</v>
      </c>
      <c r="R53" s="61">
        <f t="shared" si="28"/>
        <v>229.69947724845974</v>
      </c>
      <c r="S53" s="61">
        <v>100</v>
      </c>
      <c r="T53" s="61">
        <f t="shared" si="29"/>
        <v>129.69947724845974</v>
      </c>
      <c r="U53" s="144">
        <f t="shared" si="7"/>
        <v>51044.328277435503</v>
      </c>
      <c r="V53" s="146">
        <f t="shared" si="8"/>
        <v>26.45806528193566</v>
      </c>
      <c r="W53" s="133">
        <f t="shared" si="16"/>
        <v>51044.328277435503</v>
      </c>
      <c r="X53" s="141">
        <f t="shared" si="8"/>
        <v>26.45806528193566</v>
      </c>
      <c r="Y53" s="147">
        <v>51554.771560209861</v>
      </c>
      <c r="Z53" s="139">
        <v>26.72213344705898</v>
      </c>
      <c r="AA53" s="150">
        <v>52070.319275811962</v>
      </c>
      <c r="AB53" s="149">
        <f t="shared" si="11"/>
        <v>26.989354781529567</v>
      </c>
      <c r="AC53" s="150">
        <f t="shared" si="30"/>
        <v>53111.725661328201</v>
      </c>
      <c r="AD53" s="149">
        <f t="shared" si="12"/>
        <v>27.529141877160157</v>
      </c>
      <c r="AE53" s="286"/>
      <c r="AF53" s="103"/>
      <c r="AG53" s="294"/>
      <c r="AH53" s="297"/>
      <c r="AI53" s="362"/>
      <c r="AJ53" s="263"/>
      <c r="AK53" s="263"/>
      <c r="AL53" s="263"/>
      <c r="AM53" s="349"/>
      <c r="AN53" s="308"/>
      <c r="AP53" s="23"/>
      <c r="AQ53" s="23"/>
      <c r="AR53" s="21"/>
      <c r="AS53" s="21"/>
      <c r="AT53" s="21"/>
      <c r="AU53" s="21"/>
      <c r="AV53" s="21"/>
      <c r="AW53" s="21"/>
    </row>
    <row r="54" spans="1:49" ht="12.75" customHeight="1">
      <c r="A54" s="135">
        <v>54</v>
      </c>
      <c r="B54" s="15">
        <v>47000</v>
      </c>
      <c r="C54" s="15">
        <f t="shared" si="19"/>
        <v>48163</v>
      </c>
      <c r="D54" s="69">
        <f t="shared" si="23"/>
        <v>49342.993499999997</v>
      </c>
      <c r="E54" s="69">
        <f t="shared" si="24"/>
        <v>49487.482499999998</v>
      </c>
      <c r="F54" s="70">
        <v>49487.482499999998</v>
      </c>
      <c r="G54" s="71">
        <f t="shared" si="26"/>
        <v>49982.357324999997</v>
      </c>
      <c r="H54" s="71">
        <v>49982.357324999997</v>
      </c>
      <c r="I54" s="71">
        <v>49982.357324999997</v>
      </c>
      <c r="J54" s="72">
        <v>49982.357324999997</v>
      </c>
      <c r="K54" s="53">
        <f t="shared" si="27"/>
        <v>50482.180898250001</v>
      </c>
      <c r="L54" s="42">
        <f t="shared" si="20"/>
        <v>26.166684582875035</v>
      </c>
      <c r="M54" s="44">
        <f t="shared" si="21"/>
        <v>536.65420799999993</v>
      </c>
      <c r="N54" s="45">
        <f t="shared" si="22"/>
        <v>1.0852238148202555E-2</v>
      </c>
      <c r="P54" s="85">
        <f t="shared" si="14"/>
        <v>51592.788878011503</v>
      </c>
      <c r="Q54" s="42">
        <f t="shared" si="4"/>
        <v>26.742351643698289</v>
      </c>
      <c r="R54" s="61">
        <f t="shared" si="28"/>
        <v>232.16754995105174</v>
      </c>
      <c r="S54" s="61">
        <v>100</v>
      </c>
      <c r="T54" s="61">
        <f t="shared" si="29"/>
        <v>132.16754995105174</v>
      </c>
      <c r="U54" s="144">
        <f t="shared" si="7"/>
        <v>51592.788878011503</v>
      </c>
      <c r="V54" s="146">
        <f t="shared" si="8"/>
        <v>26.742351643698289</v>
      </c>
      <c r="W54" s="133">
        <f t="shared" si="16"/>
        <v>51592.788878011503</v>
      </c>
      <c r="X54" s="141">
        <f t="shared" si="8"/>
        <v>26.742351643698289</v>
      </c>
      <c r="Y54" s="147">
        <v>52108.716766791615</v>
      </c>
      <c r="Z54" s="139">
        <v>27.00925716586643</v>
      </c>
      <c r="AA54" s="150">
        <v>52629.803934459531</v>
      </c>
      <c r="AB54" s="149">
        <f t="shared" si="11"/>
        <v>27.279349737525095</v>
      </c>
      <c r="AC54" s="150">
        <f t="shared" si="30"/>
        <v>53682.400013148719</v>
      </c>
      <c r="AD54" s="149">
        <f t="shared" si="12"/>
        <v>27.824936732275596</v>
      </c>
      <c r="AE54" s="283" t="s">
        <v>1</v>
      </c>
      <c r="AF54" s="104"/>
      <c r="AG54" s="294"/>
      <c r="AH54" s="297"/>
      <c r="AI54" s="362"/>
      <c r="AJ54" s="263"/>
      <c r="AK54" s="263"/>
      <c r="AL54" s="263"/>
      <c r="AM54" s="349"/>
      <c r="AO54" s="303" t="s">
        <v>32</v>
      </c>
      <c r="AP54" s="23"/>
      <c r="AQ54" s="23"/>
      <c r="AR54" s="298"/>
      <c r="AS54" s="299"/>
      <c r="AT54" s="299"/>
      <c r="AU54" s="299"/>
      <c r="AV54" s="21"/>
      <c r="AW54" s="21"/>
    </row>
    <row r="55" spans="1:49">
      <c r="A55" s="135">
        <v>55</v>
      </c>
      <c r="B55" s="15">
        <v>49000</v>
      </c>
      <c r="C55" s="15">
        <f t="shared" si="19"/>
        <v>50213</v>
      </c>
      <c r="D55" s="69">
        <f t="shared" si="23"/>
        <v>51443.218500000003</v>
      </c>
      <c r="E55" s="69">
        <f t="shared" si="24"/>
        <v>51593.857499999998</v>
      </c>
      <c r="F55" s="70">
        <v>51593.857499999998</v>
      </c>
      <c r="G55" s="71">
        <f t="shared" si="26"/>
        <v>52109.796074999998</v>
      </c>
      <c r="H55" s="71">
        <v>52109.796074999998</v>
      </c>
      <c r="I55" s="71">
        <v>52109.796074999998</v>
      </c>
      <c r="J55" s="72">
        <v>52109.796074999998</v>
      </c>
      <c r="K55" s="53">
        <f t="shared" si="27"/>
        <v>52630.894035749996</v>
      </c>
      <c r="L55" s="42">
        <f t="shared" si="20"/>
        <v>27.280437949461291</v>
      </c>
      <c r="M55" s="44">
        <f t="shared" si="21"/>
        <v>2148.7131374999954</v>
      </c>
      <c r="N55" s="45">
        <f t="shared" si="22"/>
        <v>4.2989431721445835E-2</v>
      </c>
      <c r="P55" s="85">
        <f t="shared" si="14"/>
        <v>53788.773704536499</v>
      </c>
      <c r="Q55" s="42">
        <f t="shared" si="4"/>
        <v>27.880607584349441</v>
      </c>
      <c r="R55" s="61">
        <f t="shared" si="28"/>
        <v>242.04948167041422</v>
      </c>
      <c r="S55" s="61">
        <v>100</v>
      </c>
      <c r="T55" s="61">
        <f t="shared" si="29"/>
        <v>142.04948167041422</v>
      </c>
      <c r="U55" s="144">
        <f t="shared" si="7"/>
        <v>53788.773704536499</v>
      </c>
      <c r="V55" s="146">
        <f t="shared" si="8"/>
        <v>27.880607584349441</v>
      </c>
      <c r="W55" s="133">
        <f t="shared" si="16"/>
        <v>53788.773704536499</v>
      </c>
      <c r="X55" s="141">
        <f t="shared" si="8"/>
        <v>27.880607584349441</v>
      </c>
      <c r="Y55" s="147">
        <v>54326.661441581862</v>
      </c>
      <c r="Z55" s="139">
        <v>28.158873618122858</v>
      </c>
      <c r="AA55" s="150">
        <v>54869.928055997683</v>
      </c>
      <c r="AB55" s="149">
        <f t="shared" si="11"/>
        <v>28.440462354304085</v>
      </c>
      <c r="AC55" s="150">
        <f t="shared" si="30"/>
        <v>55967.326617117636</v>
      </c>
      <c r="AD55" s="149">
        <f t="shared" si="12"/>
        <v>29.009271601390168</v>
      </c>
      <c r="AE55" s="283"/>
      <c r="AF55" s="104"/>
      <c r="AG55" s="294"/>
      <c r="AH55" s="297"/>
      <c r="AI55" s="362"/>
      <c r="AJ55" s="263"/>
      <c r="AK55" s="263"/>
      <c r="AL55" s="263"/>
      <c r="AM55" s="349"/>
      <c r="AO55" s="304"/>
      <c r="AP55" s="23"/>
      <c r="AQ55" s="23"/>
      <c r="AR55" s="299"/>
      <c r="AS55" s="299"/>
      <c r="AT55" s="299"/>
      <c r="AU55" s="299"/>
      <c r="AV55" s="21"/>
      <c r="AW55" s="21"/>
    </row>
    <row r="56" spans="1:49">
      <c r="A56" s="135">
        <v>56</v>
      </c>
      <c r="B56" s="15">
        <v>51000</v>
      </c>
      <c r="C56" s="15">
        <f t="shared" si="19"/>
        <v>52262</v>
      </c>
      <c r="D56" s="69">
        <f t="shared" si="23"/>
        <v>53542.419000000002</v>
      </c>
      <c r="E56" s="69">
        <f t="shared" si="24"/>
        <v>53699.205000000002</v>
      </c>
      <c r="F56" s="70">
        <v>53699.205000000002</v>
      </c>
      <c r="G56" s="71">
        <f t="shared" si="26"/>
        <v>54236.197050000002</v>
      </c>
      <c r="H56" s="71">
        <v>54236.197050000002</v>
      </c>
      <c r="I56" s="71">
        <v>54236.197050000002</v>
      </c>
      <c r="J56" s="72">
        <v>54236.197050000002</v>
      </c>
      <c r="K56" s="53">
        <f t="shared" si="27"/>
        <v>54778.559020500004</v>
      </c>
      <c r="L56" s="42">
        <f t="shared" si="20"/>
        <v>28.393648021722388</v>
      </c>
      <c r="M56" s="44">
        <f t="shared" si="21"/>
        <v>2147.6649847500084</v>
      </c>
      <c r="N56" s="45">
        <f t="shared" si="22"/>
        <v>4.1214227391313168E-2</v>
      </c>
      <c r="P56" s="85">
        <f t="shared" si="14"/>
        <v>55983.687318951008</v>
      </c>
      <c r="Q56" s="42">
        <f t="shared" si="4"/>
        <v>29.018308278200276</v>
      </c>
      <c r="R56" s="61">
        <f t="shared" si="28"/>
        <v>251.92659293527953</v>
      </c>
      <c r="S56" s="61">
        <v>100</v>
      </c>
      <c r="T56" s="61">
        <f t="shared" si="29"/>
        <v>151.92659293527953</v>
      </c>
      <c r="U56" s="144">
        <f t="shared" si="7"/>
        <v>55983.687318951008</v>
      </c>
      <c r="V56" s="146">
        <f t="shared" si="8"/>
        <v>29.018308278200276</v>
      </c>
      <c r="W56" s="133">
        <f t="shared" si="16"/>
        <v>55983.687318951008</v>
      </c>
      <c r="X56" s="141">
        <f t="shared" si="8"/>
        <v>29.018308278200276</v>
      </c>
      <c r="Y56" s="147">
        <v>56543.524192140518</v>
      </c>
      <c r="Z56" s="139">
        <v>29.307929281865992</v>
      </c>
      <c r="AA56" s="150">
        <v>57108.959434061922</v>
      </c>
      <c r="AB56" s="149">
        <f t="shared" si="11"/>
        <v>29.601008574684649</v>
      </c>
      <c r="AC56" s="150">
        <f t="shared" si="30"/>
        <v>58251.138622743165</v>
      </c>
      <c r="AD56" s="149">
        <f t="shared" si="12"/>
        <v>30.193028746178346</v>
      </c>
      <c r="AE56" s="283"/>
      <c r="AF56" s="104"/>
      <c r="AG56" s="294"/>
      <c r="AH56" s="297"/>
      <c r="AI56" s="362"/>
      <c r="AJ56" s="263"/>
      <c r="AK56" s="263"/>
      <c r="AL56" s="263"/>
      <c r="AM56" s="349"/>
      <c r="AO56" s="304"/>
      <c r="AP56" s="23"/>
      <c r="AQ56" s="23"/>
      <c r="AR56" s="21"/>
      <c r="AS56" s="21"/>
      <c r="AT56" s="21"/>
      <c r="AU56" s="21"/>
      <c r="AV56" s="21"/>
      <c r="AW56" s="21"/>
    </row>
    <row r="57" spans="1:49">
      <c r="A57" s="135">
        <v>57</v>
      </c>
      <c r="B57" s="15">
        <v>53000</v>
      </c>
      <c r="C57" s="15">
        <f t="shared" si="19"/>
        <v>54312</v>
      </c>
      <c r="D57" s="69">
        <f t="shared" si="23"/>
        <v>55642.644</v>
      </c>
      <c r="E57" s="69">
        <f t="shared" si="24"/>
        <v>55805.58</v>
      </c>
      <c r="F57" s="70">
        <v>55805.58</v>
      </c>
      <c r="G57" s="71">
        <f t="shared" si="26"/>
        <v>56363.635800000004</v>
      </c>
      <c r="H57" s="71">
        <v>56363.635800000004</v>
      </c>
      <c r="I57" s="71">
        <v>56363.635800000004</v>
      </c>
      <c r="J57" s="72">
        <v>56363.635800000004</v>
      </c>
      <c r="K57" s="53">
        <f t="shared" si="27"/>
        <v>56927.272158000007</v>
      </c>
      <c r="L57" s="42">
        <f t="shared" si="20"/>
        <v>29.507401388308644</v>
      </c>
      <c r="M57" s="44">
        <f t="shared" si="21"/>
        <v>2148.7131375000026</v>
      </c>
      <c r="N57" s="45">
        <f t="shared" si="22"/>
        <v>3.9617695457502627E-2</v>
      </c>
      <c r="P57" s="85">
        <f t="shared" si="14"/>
        <v>58179.672145476012</v>
      </c>
      <c r="Q57" s="42">
        <f t="shared" si="4"/>
        <v>30.156564218851432</v>
      </c>
      <c r="R57" s="61">
        <f t="shared" si="28"/>
        <v>261.80852465464204</v>
      </c>
      <c r="S57" s="61">
        <v>100</v>
      </c>
      <c r="T57" s="61">
        <f t="shared" si="29"/>
        <v>161.80852465464204</v>
      </c>
      <c r="U57" s="144">
        <f t="shared" si="7"/>
        <v>58179.672145476012</v>
      </c>
      <c r="V57" s="146">
        <f t="shared" si="8"/>
        <v>30.156564218851432</v>
      </c>
      <c r="W57" s="133">
        <f t="shared" si="16"/>
        <v>58179.672145476012</v>
      </c>
      <c r="X57" s="141">
        <f t="shared" si="8"/>
        <v>30.156564218851432</v>
      </c>
      <c r="Y57" s="147">
        <v>58761.468866930772</v>
      </c>
      <c r="Z57" s="139">
        <v>30.457545734122419</v>
      </c>
      <c r="AA57" s="150">
        <v>59349.083555600082</v>
      </c>
      <c r="AB57" s="149">
        <f t="shared" si="11"/>
        <v>30.762121191463638</v>
      </c>
      <c r="AC57" s="150">
        <f t="shared" si="30"/>
        <v>60536.065226712082</v>
      </c>
      <c r="AD57" s="149">
        <f t="shared" si="12"/>
        <v>31.377363615292914</v>
      </c>
      <c r="AE57" s="283"/>
      <c r="AF57" s="104"/>
      <c r="AG57" s="294"/>
      <c r="AH57" s="297"/>
      <c r="AI57" s="362"/>
      <c r="AJ57" s="263"/>
      <c r="AK57" s="263"/>
      <c r="AL57" s="263"/>
      <c r="AM57" s="349"/>
      <c r="AO57" s="304"/>
      <c r="AP57" s="39"/>
      <c r="AQ57" s="23"/>
      <c r="AR57" s="298"/>
      <c r="AS57" s="299"/>
      <c r="AT57" s="299"/>
      <c r="AU57" s="299"/>
      <c r="AV57" s="21"/>
      <c r="AW57" s="21"/>
    </row>
    <row r="58" spans="1:49" ht="14.25" customHeight="1">
      <c r="A58" s="135">
        <v>58</v>
      </c>
      <c r="B58" s="15">
        <v>55000</v>
      </c>
      <c r="C58" s="15">
        <f t="shared" si="19"/>
        <v>56361</v>
      </c>
      <c r="D58" s="69">
        <f t="shared" si="23"/>
        <v>57741.844499999999</v>
      </c>
      <c r="E58" s="69">
        <f t="shared" si="24"/>
        <v>57910.927499999998</v>
      </c>
      <c r="F58" s="70">
        <v>57910.927499999998</v>
      </c>
      <c r="G58" s="71">
        <f t="shared" si="26"/>
        <v>58490.036775</v>
      </c>
      <c r="H58" s="71">
        <v>58490.036775</v>
      </c>
      <c r="I58" s="71">
        <v>58490.036775</v>
      </c>
      <c r="J58" s="72">
        <v>58490.036775</v>
      </c>
      <c r="K58" s="53">
        <f t="shared" si="27"/>
        <v>59074.937142750001</v>
      </c>
      <c r="L58" s="42">
        <f t="shared" si="20"/>
        <v>30.62061146056973</v>
      </c>
      <c r="M58" s="44">
        <f t="shared" si="21"/>
        <v>2147.6649847499939</v>
      </c>
      <c r="N58" s="45">
        <f t="shared" si="22"/>
        <v>3.8103733981440457E-2</v>
      </c>
      <c r="P58" s="85">
        <f t="shared" si="14"/>
        <v>60374.585759890499</v>
      </c>
      <c r="Q58" s="42">
        <f t="shared" si="4"/>
        <v>31.294264912702264</v>
      </c>
      <c r="R58" s="61">
        <f t="shared" si="28"/>
        <v>271.68563591950721</v>
      </c>
      <c r="S58" s="61">
        <v>100</v>
      </c>
      <c r="T58" s="61">
        <f t="shared" si="29"/>
        <v>171.68563591950721</v>
      </c>
      <c r="U58" s="144">
        <f t="shared" si="7"/>
        <v>60374.585759890499</v>
      </c>
      <c r="V58" s="146">
        <f t="shared" si="8"/>
        <v>31.294264912702264</v>
      </c>
      <c r="W58" s="133">
        <f t="shared" si="16"/>
        <v>60374.585759890499</v>
      </c>
      <c r="X58" s="141">
        <f t="shared" si="8"/>
        <v>31.294264912702264</v>
      </c>
      <c r="Y58" s="147">
        <v>60978.331617489406</v>
      </c>
      <c r="Z58" s="139">
        <v>31.606601397865539</v>
      </c>
      <c r="AA58" s="150">
        <v>61588.114933664299</v>
      </c>
      <c r="AB58" s="149">
        <f t="shared" si="11"/>
        <v>31.922667411844198</v>
      </c>
      <c r="AC58" s="150">
        <f t="shared" si="30"/>
        <v>62819.877232337589</v>
      </c>
      <c r="AD58" s="149">
        <f t="shared" si="12"/>
        <v>32.561120760081081</v>
      </c>
      <c r="AE58" s="283"/>
      <c r="AF58" s="104"/>
      <c r="AG58" s="294"/>
      <c r="AH58" s="297"/>
      <c r="AI58" s="362"/>
      <c r="AJ58" s="264"/>
      <c r="AK58" s="264"/>
      <c r="AL58" s="263"/>
      <c r="AM58" s="343">
        <v>9.9000000000000005E-2</v>
      </c>
      <c r="AO58" s="305"/>
      <c r="AP58" s="39"/>
      <c r="AQ58" s="23"/>
      <c r="AR58" s="299"/>
      <c r="AS58" s="299"/>
      <c r="AT58" s="299"/>
      <c r="AU58" s="299"/>
      <c r="AV58" s="21"/>
      <c r="AW58" s="21"/>
    </row>
    <row r="59" spans="1:49" ht="12.75" customHeight="1">
      <c r="A59" s="135">
        <v>59</v>
      </c>
      <c r="B59" s="15">
        <v>57000</v>
      </c>
      <c r="C59" s="15">
        <f t="shared" si="19"/>
        <v>58411</v>
      </c>
      <c r="D59" s="69">
        <f t="shared" si="23"/>
        <v>59842.069499999998</v>
      </c>
      <c r="E59" s="69">
        <f t="shared" si="24"/>
        <v>60017.302499999998</v>
      </c>
      <c r="F59" s="70">
        <v>60017.302499999998</v>
      </c>
      <c r="G59" s="71">
        <f t="shared" si="26"/>
        <v>60617.475524999994</v>
      </c>
      <c r="H59" s="71">
        <v>60617.475524999994</v>
      </c>
      <c r="I59" s="71">
        <v>60617.475524999994</v>
      </c>
      <c r="J59" s="72">
        <v>60617.475524999994</v>
      </c>
      <c r="K59" s="53">
        <f t="shared" si="27"/>
        <v>61223.650280249996</v>
      </c>
      <c r="L59" s="42">
        <f t="shared" si="20"/>
        <v>31.734364827155982</v>
      </c>
      <c r="M59" s="44">
        <f t="shared" si="21"/>
        <v>2148.7131374999954</v>
      </c>
      <c r="N59" s="45">
        <f t="shared" si="22"/>
        <v>3.6736395734639118E-2</v>
      </c>
      <c r="P59" s="85">
        <f t="shared" si="14"/>
        <v>62570.570586415495</v>
      </c>
      <c r="Q59" s="42">
        <f t="shared" si="4"/>
        <v>32.432520853353417</v>
      </c>
      <c r="R59" s="61">
        <f t="shared" si="28"/>
        <v>281.56756763886972</v>
      </c>
      <c r="S59" s="61">
        <v>100</v>
      </c>
      <c r="T59" s="61">
        <f t="shared" si="29"/>
        <v>181.56756763886972</v>
      </c>
      <c r="U59" s="144">
        <f t="shared" si="7"/>
        <v>62570.570586415495</v>
      </c>
      <c r="V59" s="146">
        <f t="shared" si="8"/>
        <v>32.432520853353417</v>
      </c>
      <c r="W59" s="133">
        <f t="shared" si="16"/>
        <v>62570.570586415495</v>
      </c>
      <c r="X59" s="141">
        <f t="shared" si="8"/>
        <v>32.432520853353417</v>
      </c>
      <c r="Y59" s="147">
        <v>63196.276292279654</v>
      </c>
      <c r="Z59" s="139">
        <v>32.756217850121963</v>
      </c>
      <c r="AA59" s="150">
        <v>63828.239055202452</v>
      </c>
      <c r="AB59" s="149">
        <f t="shared" si="11"/>
        <v>33.083780028623181</v>
      </c>
      <c r="AC59" s="150">
        <f t="shared" si="30"/>
        <v>65104.803836306499</v>
      </c>
      <c r="AD59" s="149">
        <f t="shared" si="12"/>
        <v>33.745455629195646</v>
      </c>
      <c r="AE59" s="277" t="s">
        <v>2</v>
      </c>
      <c r="AF59" s="105"/>
      <c r="AG59" s="294"/>
      <c r="AH59" s="297"/>
      <c r="AI59" s="362"/>
      <c r="AJ59" s="265">
        <v>9.9000000000000005E-2</v>
      </c>
      <c r="AK59" s="265">
        <v>9.9000000000000005E-2</v>
      </c>
      <c r="AL59" s="266">
        <v>9.9000000000000005E-2</v>
      </c>
      <c r="AM59" s="343"/>
      <c r="AN59" s="303" t="s">
        <v>33</v>
      </c>
      <c r="AP59" s="39"/>
      <c r="AQ59" s="23"/>
      <c r="AR59" s="21"/>
      <c r="AS59" s="21"/>
      <c r="AT59" s="21"/>
      <c r="AU59" s="21"/>
      <c r="AV59" s="21"/>
      <c r="AW59" s="21"/>
    </row>
    <row r="60" spans="1:49" ht="12.75" customHeight="1">
      <c r="A60" s="135">
        <v>60</v>
      </c>
      <c r="B60" s="15">
        <v>59000</v>
      </c>
      <c r="C60" s="15">
        <f t="shared" si="19"/>
        <v>60460</v>
      </c>
      <c r="D60" s="69">
        <f t="shared" si="23"/>
        <v>61941.27</v>
      </c>
      <c r="E60" s="69">
        <f t="shared" si="24"/>
        <v>62122.65</v>
      </c>
      <c r="F60" s="70">
        <v>62122.65</v>
      </c>
      <c r="G60" s="71">
        <f t="shared" si="26"/>
        <v>62743.876499999998</v>
      </c>
      <c r="H60" s="71">
        <v>62743.876499999998</v>
      </c>
      <c r="I60" s="71">
        <v>62743.876499999998</v>
      </c>
      <c r="J60" s="72">
        <v>62743.876499999998</v>
      </c>
      <c r="K60" s="53">
        <f t="shared" si="27"/>
        <v>63371.315264999997</v>
      </c>
      <c r="L60" s="42">
        <f t="shared" si="20"/>
        <v>32.847574899417076</v>
      </c>
      <c r="M60" s="44">
        <f t="shared" si="21"/>
        <v>2147.6649847500012</v>
      </c>
      <c r="N60" s="45">
        <f t="shared" si="22"/>
        <v>3.5429799181661011E-2</v>
      </c>
      <c r="P60" s="85">
        <f t="shared" si="14"/>
        <v>64765.484200829997</v>
      </c>
      <c r="Q60" s="42">
        <f t="shared" si="4"/>
        <v>33.570221547204255</v>
      </c>
      <c r="R60" s="61">
        <f t="shared" si="28"/>
        <v>291.44467890373494</v>
      </c>
      <c r="S60" s="61">
        <v>100</v>
      </c>
      <c r="T60" s="61">
        <f t="shared" si="29"/>
        <v>191.44467890373494</v>
      </c>
      <c r="U60" s="144">
        <f t="shared" si="7"/>
        <v>64765.484200829997</v>
      </c>
      <c r="V60" s="146">
        <f t="shared" si="8"/>
        <v>33.570221547204255</v>
      </c>
      <c r="W60" s="133">
        <f t="shared" si="16"/>
        <v>64765.484200829997</v>
      </c>
      <c r="X60" s="141">
        <f t="shared" si="8"/>
        <v>33.570221547204255</v>
      </c>
      <c r="Y60" s="147">
        <v>65413.139042838295</v>
      </c>
      <c r="Z60" s="139">
        <v>33.90527351386509</v>
      </c>
      <c r="AA60" s="150">
        <v>66067.270433266676</v>
      </c>
      <c r="AB60" s="149">
        <f t="shared" si="11"/>
        <v>34.244326249003741</v>
      </c>
      <c r="AC60" s="150">
        <f t="shared" si="30"/>
        <v>67388.615841932013</v>
      </c>
      <c r="AD60" s="149">
        <f t="shared" si="12"/>
        <v>34.929212773983814</v>
      </c>
      <c r="AE60" s="277"/>
      <c r="AF60" s="105"/>
      <c r="AG60" s="294"/>
      <c r="AH60" s="297"/>
      <c r="AI60" s="362"/>
      <c r="AJ60" s="266"/>
      <c r="AK60" s="266"/>
      <c r="AL60" s="266"/>
      <c r="AM60" s="343"/>
      <c r="AN60" s="306"/>
      <c r="AP60" s="39"/>
      <c r="AQ60" s="23"/>
      <c r="AR60" s="298"/>
      <c r="AS60" s="299"/>
      <c r="AT60" s="299"/>
      <c r="AU60" s="299"/>
      <c r="AV60" s="21"/>
      <c r="AW60" s="21"/>
    </row>
    <row r="61" spans="1:49">
      <c r="A61" s="135">
        <v>61</v>
      </c>
      <c r="B61" s="15">
        <v>61000</v>
      </c>
      <c r="C61" s="15">
        <f t="shared" si="19"/>
        <v>62510</v>
      </c>
      <c r="D61" s="69">
        <f t="shared" si="23"/>
        <v>64041.495000000003</v>
      </c>
      <c r="E61" s="69">
        <f t="shared" si="24"/>
        <v>64229.025000000001</v>
      </c>
      <c r="F61" s="70">
        <v>64229.025000000001</v>
      </c>
      <c r="G61" s="71">
        <f t="shared" si="26"/>
        <v>64871.31525</v>
      </c>
      <c r="H61" s="71">
        <v>64871.31525</v>
      </c>
      <c r="I61" s="71">
        <v>64871.31525</v>
      </c>
      <c r="J61" s="72">
        <v>64871.31525</v>
      </c>
      <c r="K61" s="53">
        <f t="shared" si="27"/>
        <v>65520.0284025</v>
      </c>
      <c r="L61" s="42">
        <f t="shared" si="20"/>
        <v>33.961328266003335</v>
      </c>
      <c r="M61" s="44">
        <f t="shared" si="21"/>
        <v>2148.7131375000026</v>
      </c>
      <c r="N61" s="45">
        <f t="shared" si="22"/>
        <v>3.4245782335428424E-2</v>
      </c>
      <c r="P61" s="85">
        <f t="shared" si="14"/>
        <v>66961.469027355008</v>
      </c>
      <c r="Q61" s="42">
        <f t="shared" si="4"/>
        <v>34.708477487855411</v>
      </c>
      <c r="R61" s="61">
        <f t="shared" si="28"/>
        <v>301.32661062309751</v>
      </c>
      <c r="S61" s="61">
        <v>100</v>
      </c>
      <c r="T61" s="61">
        <f t="shared" si="29"/>
        <v>201.32661062309751</v>
      </c>
      <c r="U61" s="144">
        <f t="shared" si="7"/>
        <v>66961.469027355008</v>
      </c>
      <c r="V61" s="146">
        <f t="shared" si="8"/>
        <v>34.708477487855411</v>
      </c>
      <c r="W61" s="133">
        <f t="shared" si="16"/>
        <v>66961.469027355008</v>
      </c>
      <c r="X61" s="141">
        <f t="shared" si="8"/>
        <v>34.708477487855411</v>
      </c>
      <c r="Y61" s="147">
        <v>67631.083717628557</v>
      </c>
      <c r="Z61" s="139">
        <v>35.054889966121522</v>
      </c>
      <c r="AA61" s="150">
        <v>68307.394554804836</v>
      </c>
      <c r="AB61" s="149">
        <f t="shared" si="11"/>
        <v>35.405438865782727</v>
      </c>
      <c r="AC61" s="150">
        <f t="shared" si="30"/>
        <v>69673.542445900937</v>
      </c>
      <c r="AD61" s="149">
        <f t="shared" si="12"/>
        <v>36.113547643098386</v>
      </c>
      <c r="AE61" s="277"/>
      <c r="AF61" s="105"/>
      <c r="AG61" s="294"/>
      <c r="AH61" s="297"/>
      <c r="AI61" s="362"/>
      <c r="AJ61" s="266"/>
      <c r="AK61" s="266"/>
      <c r="AL61" s="266"/>
      <c r="AM61" s="343"/>
      <c r="AN61" s="306"/>
      <c r="AP61" s="39"/>
      <c r="AQ61" s="23"/>
      <c r="AR61" s="299"/>
      <c r="AS61" s="299"/>
      <c r="AT61" s="299"/>
      <c r="AU61" s="299"/>
      <c r="AV61" s="21"/>
      <c r="AW61" s="21"/>
    </row>
    <row r="62" spans="1:49">
      <c r="A62" s="135">
        <v>62</v>
      </c>
      <c r="B62" s="15">
        <v>63000</v>
      </c>
      <c r="C62" s="15">
        <f t="shared" si="19"/>
        <v>64559</v>
      </c>
      <c r="D62" s="69">
        <f t="shared" si="23"/>
        <v>66140.695500000002</v>
      </c>
      <c r="E62" s="69">
        <f t="shared" si="24"/>
        <v>66334.372499999998</v>
      </c>
      <c r="F62" s="70">
        <v>66334.372499999998</v>
      </c>
      <c r="G62" s="71">
        <f t="shared" si="26"/>
        <v>66997.716224999996</v>
      </c>
      <c r="H62" s="71">
        <v>66997.716224999996</v>
      </c>
      <c r="I62" s="71">
        <v>66997.716224999996</v>
      </c>
      <c r="J62" s="72">
        <v>66997.716224999996</v>
      </c>
      <c r="K62" s="53">
        <f t="shared" si="27"/>
        <v>67667.693387249994</v>
      </c>
      <c r="L62" s="42">
        <f t="shared" si="20"/>
        <v>35.074538338264418</v>
      </c>
      <c r="M62" s="44">
        <f t="shared" si="21"/>
        <v>2147.6649847499939</v>
      </c>
      <c r="N62" s="45">
        <f t="shared" si="22"/>
        <v>3.3106542953127406E-2</v>
      </c>
      <c r="P62" s="85">
        <f t="shared" si="14"/>
        <v>69156.382641769495</v>
      </c>
      <c r="Q62" s="42">
        <f t="shared" si="4"/>
        <v>35.846178181706243</v>
      </c>
      <c r="R62" s="61">
        <f t="shared" si="28"/>
        <v>311.20372188796273</v>
      </c>
      <c r="S62" s="61">
        <v>100</v>
      </c>
      <c r="T62" s="61">
        <f t="shared" si="29"/>
        <v>211.20372188796273</v>
      </c>
      <c r="U62" s="144">
        <f t="shared" si="7"/>
        <v>69156.382641769495</v>
      </c>
      <c r="V62" s="146">
        <f t="shared" si="8"/>
        <v>35.846178181706243</v>
      </c>
      <c r="W62" s="133">
        <f t="shared" si="16"/>
        <v>69156.382641769495</v>
      </c>
      <c r="X62" s="141">
        <f t="shared" si="8"/>
        <v>35.846178181706243</v>
      </c>
      <c r="Y62" s="147">
        <v>69847.94646818719</v>
      </c>
      <c r="Z62" s="139">
        <v>36.203945629864641</v>
      </c>
      <c r="AA62" s="150">
        <v>70546.425932869068</v>
      </c>
      <c r="AB62" s="149">
        <f t="shared" si="11"/>
        <v>36.565985086163295</v>
      </c>
      <c r="AC62" s="150">
        <f t="shared" si="30"/>
        <v>71957.354451526451</v>
      </c>
      <c r="AD62" s="149">
        <f t="shared" si="12"/>
        <v>37.29730478788656</v>
      </c>
      <c r="AE62" s="277"/>
      <c r="AF62" s="105"/>
      <c r="AG62" s="294"/>
      <c r="AH62" s="297"/>
      <c r="AI62" s="362"/>
      <c r="AJ62" s="266"/>
      <c r="AK62" s="266"/>
      <c r="AL62" s="266"/>
      <c r="AM62" s="343"/>
      <c r="AN62" s="306"/>
      <c r="AP62" s="39"/>
      <c r="AQ62" s="23"/>
      <c r="AR62" s="21"/>
      <c r="AS62" s="21"/>
      <c r="AT62" s="21"/>
      <c r="AU62" s="21"/>
      <c r="AV62" s="21"/>
      <c r="AW62" s="21"/>
    </row>
    <row r="63" spans="1:49" ht="13.5" customHeight="1">
      <c r="A63" s="135">
        <v>63</v>
      </c>
      <c r="B63" s="15">
        <v>65000</v>
      </c>
      <c r="C63" s="15">
        <f t="shared" si="19"/>
        <v>66609</v>
      </c>
      <c r="D63" s="69">
        <f t="shared" si="23"/>
        <v>68240.920500000007</v>
      </c>
      <c r="E63" s="69">
        <f t="shared" si="24"/>
        <v>68440.747499999998</v>
      </c>
      <c r="F63" s="70">
        <v>68440.747499999998</v>
      </c>
      <c r="G63" s="71">
        <f t="shared" si="26"/>
        <v>69125.154974999998</v>
      </c>
      <c r="H63" s="71">
        <v>69125.154974999998</v>
      </c>
      <c r="I63" s="71">
        <v>69125.154974999998</v>
      </c>
      <c r="J63" s="72">
        <v>69125.154974999998</v>
      </c>
      <c r="K63" s="53">
        <f t="shared" si="27"/>
        <v>69816.406524749997</v>
      </c>
      <c r="L63" s="42">
        <f t="shared" si="20"/>
        <v>36.188291704850677</v>
      </c>
      <c r="M63" s="44">
        <f t="shared" si="21"/>
        <v>2148.7131375000026</v>
      </c>
      <c r="N63" s="45">
        <f t="shared" si="22"/>
        <v>3.2071438529097454E-2</v>
      </c>
      <c r="P63" s="85">
        <f t="shared" si="14"/>
        <v>71352.367468294498</v>
      </c>
      <c r="Q63" s="42">
        <f t="shared" si="4"/>
        <v>36.984434122357399</v>
      </c>
      <c r="R63" s="61">
        <f t="shared" si="28"/>
        <v>321.08565360732524</v>
      </c>
      <c r="S63" s="61">
        <v>100</v>
      </c>
      <c r="T63" s="61">
        <f t="shared" si="29"/>
        <v>221.08565360732524</v>
      </c>
      <c r="U63" s="144">
        <f t="shared" si="7"/>
        <v>71352.367468294498</v>
      </c>
      <c r="V63" s="146">
        <f t="shared" si="8"/>
        <v>36.984434122357399</v>
      </c>
      <c r="W63" s="133">
        <f t="shared" si="16"/>
        <v>71352.367468294498</v>
      </c>
      <c r="X63" s="141">
        <f t="shared" si="8"/>
        <v>36.984434122357399</v>
      </c>
      <c r="Y63" s="147">
        <v>72065.891142977445</v>
      </c>
      <c r="Z63" s="139">
        <v>37.353562082121073</v>
      </c>
      <c r="AA63" s="150">
        <v>72786.550054407213</v>
      </c>
      <c r="AB63" s="149">
        <f t="shared" si="11"/>
        <v>37.727097702942281</v>
      </c>
      <c r="AC63" s="150">
        <f t="shared" si="30"/>
        <v>74242.281055495361</v>
      </c>
      <c r="AD63" s="149">
        <f t="shared" si="12"/>
        <v>38.481639657001125</v>
      </c>
      <c r="AE63" s="278"/>
      <c r="AF63" s="106"/>
      <c r="AG63" s="294"/>
      <c r="AH63" s="297"/>
      <c r="AI63" s="362"/>
      <c r="AJ63" s="266"/>
      <c r="AK63" s="266"/>
      <c r="AL63" s="266"/>
      <c r="AM63" s="343"/>
      <c r="AN63" s="306"/>
      <c r="AP63" s="39"/>
      <c r="AQ63" s="23"/>
      <c r="AR63" s="299"/>
      <c r="AS63" s="299"/>
      <c r="AT63" s="21"/>
      <c r="AU63" s="21"/>
      <c r="AV63" s="21"/>
      <c r="AW63" s="21"/>
    </row>
    <row r="64" spans="1:49">
      <c r="A64" s="135">
        <v>64</v>
      </c>
      <c r="B64" s="15" t="s">
        <v>99</v>
      </c>
      <c r="C64" s="15" t="s">
        <v>99</v>
      </c>
      <c r="D64" s="69" t="s">
        <v>99</v>
      </c>
      <c r="E64" s="75">
        <v>69800</v>
      </c>
      <c r="F64" s="70">
        <v>69800</v>
      </c>
      <c r="G64" s="71">
        <f t="shared" si="26"/>
        <v>70498</v>
      </c>
      <c r="H64" s="71">
        <v>70498</v>
      </c>
      <c r="I64" s="71">
        <v>70498</v>
      </c>
      <c r="J64" s="72">
        <v>70498</v>
      </c>
      <c r="K64" s="53">
        <f t="shared" si="27"/>
        <v>71202.98</v>
      </c>
      <c r="L64" s="42">
        <f t="shared" si="20"/>
        <v>36.907001359074542</v>
      </c>
      <c r="M64" s="44">
        <f t="shared" si="21"/>
        <v>1386.5734752499993</v>
      </c>
      <c r="N64" s="45">
        <f t="shared" si="22"/>
        <v>2.0058884146465516E-2</v>
      </c>
      <c r="P64" s="85">
        <f t="shared" si="14"/>
        <v>72769.445559999993</v>
      </c>
      <c r="Q64" s="42">
        <f t="shared" si="4"/>
        <v>37.71895538897418</v>
      </c>
      <c r="R64" s="61">
        <f t="shared" si="28"/>
        <v>327.46250501999992</v>
      </c>
      <c r="S64" s="61">
        <v>100</v>
      </c>
      <c r="T64" s="61">
        <f t="shared" si="29"/>
        <v>227.46250501999992</v>
      </c>
      <c r="U64" s="144">
        <f t="shared" si="7"/>
        <v>72769.445559999993</v>
      </c>
      <c r="V64" s="146">
        <f t="shared" si="8"/>
        <v>37.71895538897418</v>
      </c>
      <c r="W64" s="133">
        <f t="shared" si="16"/>
        <v>72769.445559999993</v>
      </c>
      <c r="X64" s="141">
        <f t="shared" si="8"/>
        <v>37.71895538897418</v>
      </c>
      <c r="Y64" s="147">
        <v>73497.140015599987</v>
      </c>
      <c r="Z64" s="139">
        <v>38.095414333866685</v>
      </c>
      <c r="AA64" s="150">
        <v>74232.111415755993</v>
      </c>
      <c r="AB64" s="149">
        <f t="shared" si="11"/>
        <v>38.476368477205348</v>
      </c>
      <c r="AC64" s="150">
        <f t="shared" si="30"/>
        <v>75716.753644071112</v>
      </c>
      <c r="AD64" s="149">
        <f t="shared" si="12"/>
        <v>39.245895846749463</v>
      </c>
      <c r="AE64" s="3"/>
      <c r="AF64" s="107"/>
      <c r="AG64" s="294"/>
      <c r="AH64" s="297"/>
      <c r="AI64" s="362"/>
      <c r="AJ64" s="266"/>
      <c r="AK64" s="266"/>
      <c r="AL64" s="266"/>
      <c r="AM64" s="343"/>
      <c r="AN64" s="307"/>
      <c r="AP64" s="39"/>
      <c r="AQ64" s="23"/>
      <c r="AR64" s="299"/>
      <c r="AS64" s="299"/>
      <c r="AT64" s="21"/>
      <c r="AU64" s="21"/>
      <c r="AV64" s="21"/>
      <c r="AW64" s="21"/>
    </row>
    <row r="65" spans="1:49" ht="12.75" customHeight="1">
      <c r="A65" s="135">
        <v>65</v>
      </c>
      <c r="B65" s="15">
        <v>67000</v>
      </c>
      <c r="C65" s="15">
        <f>ROUND(B65*1.02475/1,0)*1</f>
        <v>68658</v>
      </c>
      <c r="D65" s="69">
        <f>(C65*2.45%)+C65</f>
        <v>70340.120999999999</v>
      </c>
      <c r="E65" s="69">
        <f>(C65*2.75%)+C65</f>
        <v>70546.095000000001</v>
      </c>
      <c r="F65" s="70">
        <v>70546.095000000001</v>
      </c>
      <c r="G65" s="71">
        <f t="shared" si="26"/>
        <v>71251.555949999994</v>
      </c>
      <c r="H65" s="71">
        <v>71251.555949999994</v>
      </c>
      <c r="I65" s="71">
        <v>71251.555949999994</v>
      </c>
      <c r="J65" s="72">
        <v>71251.555949999994</v>
      </c>
      <c r="K65" s="53">
        <f t="shared" si="27"/>
        <v>71964.07150949999</v>
      </c>
      <c r="L65" s="42">
        <f t="shared" si="20"/>
        <v>37.301501777111767</v>
      </c>
      <c r="M65" s="44">
        <f t="shared" si="21"/>
        <v>761.09150949999457</v>
      </c>
      <c r="N65" s="45">
        <f t="shared" si="22"/>
        <v>1.0795930515759236E-2</v>
      </c>
      <c r="P65" s="85">
        <f t="shared" si="14"/>
        <v>73547.281082708985</v>
      </c>
      <c r="Q65" s="42">
        <f t="shared" si="4"/>
        <v>38.122134816208224</v>
      </c>
      <c r="R65" s="61">
        <f t="shared" si="28"/>
        <v>330.96276487219041</v>
      </c>
      <c r="S65" s="61">
        <v>100</v>
      </c>
      <c r="T65" s="61">
        <f t="shared" si="29"/>
        <v>230.96276487219041</v>
      </c>
      <c r="U65" s="144">
        <f t="shared" si="7"/>
        <v>73547.281082708985</v>
      </c>
      <c r="V65" s="146">
        <f t="shared" si="8"/>
        <v>38.122134816208224</v>
      </c>
      <c r="W65" s="133">
        <f t="shared" si="16"/>
        <v>73547.281082708985</v>
      </c>
      <c r="X65" s="141">
        <f t="shared" si="8"/>
        <v>38.122134816208224</v>
      </c>
      <c r="Y65" s="147">
        <v>74282.753893536079</v>
      </c>
      <c r="Z65" s="139">
        <v>38.502617745864192</v>
      </c>
      <c r="AA65" s="150">
        <v>75025.581432471445</v>
      </c>
      <c r="AB65" s="149">
        <f t="shared" si="11"/>
        <v>38.887643923322841</v>
      </c>
      <c r="AC65" s="150">
        <f t="shared" si="30"/>
        <v>76526.093061120875</v>
      </c>
      <c r="AD65" s="149">
        <f t="shared" si="12"/>
        <v>39.665396801789299</v>
      </c>
      <c r="AE65" s="279" t="s">
        <v>3</v>
      </c>
      <c r="AF65" s="108"/>
      <c r="AG65" s="294"/>
      <c r="AH65" s="297"/>
      <c r="AI65" s="362"/>
      <c r="AJ65" s="266"/>
      <c r="AK65" s="266"/>
      <c r="AL65" s="266"/>
      <c r="AM65" s="343"/>
      <c r="AO65" s="303" t="s">
        <v>50</v>
      </c>
      <c r="AP65" s="39"/>
      <c r="AQ65" s="23"/>
      <c r="AR65" s="21"/>
      <c r="AS65" s="21"/>
      <c r="AT65" s="21"/>
      <c r="AU65" s="21"/>
      <c r="AV65" s="21"/>
      <c r="AW65" s="21"/>
    </row>
    <row r="66" spans="1:49">
      <c r="A66" s="135">
        <v>66</v>
      </c>
      <c r="B66" s="15">
        <v>69000</v>
      </c>
      <c r="C66" s="15">
        <f>ROUND(B66*1.02475/1,0)*1</f>
        <v>70708</v>
      </c>
      <c r="D66" s="69">
        <f>(C66*2.45%)+C66</f>
        <v>72440.346000000005</v>
      </c>
      <c r="E66" s="69">
        <f>(C66*2.75%)+C66</f>
        <v>72652.47</v>
      </c>
      <c r="F66" s="70">
        <v>72652.47</v>
      </c>
      <c r="G66" s="71">
        <f t="shared" si="26"/>
        <v>73378.994699999996</v>
      </c>
      <c r="H66" s="71">
        <v>73378.994699999996</v>
      </c>
      <c r="I66" s="71">
        <v>73378.994699999996</v>
      </c>
      <c r="J66" s="72">
        <v>73378.994699999996</v>
      </c>
      <c r="K66" s="53">
        <f t="shared" si="27"/>
        <v>74112.784646999993</v>
      </c>
      <c r="L66" s="42">
        <f t="shared" si="20"/>
        <v>38.415255143698026</v>
      </c>
      <c r="M66" s="44">
        <f t="shared" si="21"/>
        <v>2148.7131375000026</v>
      </c>
      <c r="N66" s="45">
        <f t="shared" si="22"/>
        <v>3.0156718809170129E-2</v>
      </c>
      <c r="P66" s="85">
        <f t="shared" si="14"/>
        <v>75743.265909233989</v>
      </c>
      <c r="Q66" s="42">
        <f t="shared" si="4"/>
        <v>39.26039075685938</v>
      </c>
      <c r="R66" s="61">
        <f t="shared" si="28"/>
        <v>340.84469659155292</v>
      </c>
      <c r="S66" s="61">
        <v>100</v>
      </c>
      <c r="T66" s="61">
        <f t="shared" si="29"/>
        <v>240.84469659155292</v>
      </c>
      <c r="U66" s="144">
        <f t="shared" si="7"/>
        <v>75743.265909233989</v>
      </c>
      <c r="V66" s="146">
        <f t="shared" si="8"/>
        <v>39.26039075685938</v>
      </c>
      <c r="W66" s="133">
        <f t="shared" si="16"/>
        <v>75743.265909233989</v>
      </c>
      <c r="X66" s="141">
        <f t="shared" si="8"/>
        <v>39.26039075685938</v>
      </c>
      <c r="Y66" s="147">
        <v>76500.698568326334</v>
      </c>
      <c r="Z66" s="139">
        <v>39.652234198120617</v>
      </c>
      <c r="AA66" s="150">
        <v>77265.70555400959</v>
      </c>
      <c r="AB66" s="149">
        <f t="shared" si="11"/>
        <v>40.04875654010182</v>
      </c>
      <c r="AC66" s="150">
        <f t="shared" si="30"/>
        <v>78811.019665089785</v>
      </c>
      <c r="AD66" s="149">
        <f t="shared" si="12"/>
        <v>40.849731670903864</v>
      </c>
      <c r="AE66" s="280"/>
      <c r="AF66" s="109"/>
      <c r="AG66" s="294"/>
      <c r="AH66" s="297"/>
      <c r="AI66" s="362"/>
      <c r="AJ66" s="266"/>
      <c r="AK66" s="266"/>
      <c r="AL66" s="266"/>
      <c r="AM66" s="343"/>
      <c r="AO66" s="304"/>
      <c r="AP66" s="39"/>
      <c r="AQ66" s="23"/>
      <c r="AR66" s="298"/>
      <c r="AS66" s="299"/>
      <c r="AT66" s="299"/>
      <c r="AU66" s="299"/>
      <c r="AV66" s="21"/>
      <c r="AW66" s="21"/>
    </row>
    <row r="67" spans="1:49">
      <c r="A67" s="135">
        <v>67</v>
      </c>
      <c r="B67" s="15">
        <v>71000</v>
      </c>
      <c r="C67" s="15">
        <f>ROUND(B67*1.02475/1,0)*1</f>
        <v>72757</v>
      </c>
      <c r="D67" s="69">
        <f>(C67*2.45%)+C67</f>
        <v>74539.546499999997</v>
      </c>
      <c r="E67" s="69">
        <f>(C67*2.75%)+C67</f>
        <v>74757.817500000005</v>
      </c>
      <c r="F67" s="70">
        <v>74757.817500000005</v>
      </c>
      <c r="G67" s="71">
        <f t="shared" si="26"/>
        <v>75505.395675000007</v>
      </c>
      <c r="H67" s="71">
        <v>75505.395675000007</v>
      </c>
      <c r="I67" s="71">
        <v>75505.395675000007</v>
      </c>
      <c r="J67" s="72">
        <v>75505.395675000007</v>
      </c>
      <c r="K67" s="53">
        <f t="shared" si="27"/>
        <v>76260.449631750002</v>
      </c>
      <c r="L67" s="42">
        <f t="shared" si="20"/>
        <v>39.528465215959123</v>
      </c>
      <c r="M67" s="44">
        <f t="shared" si="21"/>
        <v>2147.6649847500084</v>
      </c>
      <c r="N67" s="45">
        <f t="shared" si="22"/>
        <v>2.9268116761894104E-2</v>
      </c>
      <c r="P67" s="85">
        <f t="shared" si="14"/>
        <v>77938.179523648505</v>
      </c>
      <c r="Q67" s="42">
        <f t="shared" si="4"/>
        <v>40.398091450710226</v>
      </c>
      <c r="R67" s="61">
        <f t="shared" si="28"/>
        <v>350.72180785641825</v>
      </c>
      <c r="S67" s="61">
        <v>100</v>
      </c>
      <c r="T67" s="61">
        <f t="shared" si="29"/>
        <v>250.72180785641825</v>
      </c>
      <c r="U67" s="144">
        <f t="shared" si="7"/>
        <v>77938.179523648505</v>
      </c>
      <c r="V67" s="146">
        <f t="shared" si="8"/>
        <v>40.398091450710226</v>
      </c>
      <c r="W67" s="133">
        <f t="shared" si="16"/>
        <v>77938.179523648505</v>
      </c>
      <c r="X67" s="141">
        <f t="shared" si="8"/>
        <v>40.398091450710226</v>
      </c>
      <c r="Y67" s="147">
        <v>78717.561318884997</v>
      </c>
      <c r="Z67" s="139">
        <v>40.801289861863758</v>
      </c>
      <c r="AA67" s="150">
        <v>79504.736932073851</v>
      </c>
      <c r="AB67" s="149">
        <f t="shared" si="11"/>
        <v>41.209302760482402</v>
      </c>
      <c r="AC67" s="150">
        <f t="shared" si="30"/>
        <v>81094.831670715328</v>
      </c>
      <c r="AD67" s="149">
        <f t="shared" si="12"/>
        <v>42.033488815692046</v>
      </c>
      <c r="AE67" s="280"/>
      <c r="AF67" s="109"/>
      <c r="AG67" s="294"/>
      <c r="AH67" s="297"/>
      <c r="AI67" s="362"/>
      <c r="AJ67" s="266"/>
      <c r="AK67" s="266"/>
      <c r="AL67" s="266"/>
      <c r="AM67" s="343"/>
      <c r="AO67" s="304"/>
      <c r="AP67" s="39"/>
      <c r="AQ67" s="23"/>
      <c r="AR67" s="299"/>
      <c r="AS67" s="299"/>
      <c r="AT67" s="299"/>
      <c r="AU67" s="299"/>
      <c r="AV67" s="21"/>
      <c r="AW67" s="21"/>
    </row>
    <row r="68" spans="1:49">
      <c r="A68" s="135">
        <v>68</v>
      </c>
      <c r="B68" s="15">
        <v>73000</v>
      </c>
      <c r="C68" s="15">
        <f>ROUND(B68*1.02475/1,0)*1</f>
        <v>74807</v>
      </c>
      <c r="D68" s="69">
        <f>(C68*2.45%)+C68</f>
        <v>76639.771500000003</v>
      </c>
      <c r="E68" s="69">
        <f>(C68*2.75%)+C68</f>
        <v>76864.192500000005</v>
      </c>
      <c r="F68" s="70">
        <v>76864.192500000005</v>
      </c>
      <c r="G68" s="71">
        <f t="shared" si="26"/>
        <v>77632.834425000008</v>
      </c>
      <c r="H68" s="71">
        <v>77632.834425000008</v>
      </c>
      <c r="I68" s="71">
        <v>77632.834425000008</v>
      </c>
      <c r="J68" s="72">
        <v>77632.834425000008</v>
      </c>
      <c r="K68" s="53">
        <f t="shared" si="27"/>
        <v>78409.162769250004</v>
      </c>
      <c r="L68" s="42">
        <f t="shared" si="20"/>
        <v>40.642218582545382</v>
      </c>
      <c r="M68" s="44">
        <f t="shared" si="21"/>
        <v>2148.7131375000026</v>
      </c>
      <c r="N68" s="45">
        <f t="shared" si="22"/>
        <v>2.8457742897590642E-2</v>
      </c>
      <c r="P68" s="85">
        <f t="shared" si="14"/>
        <v>80134.164350173509</v>
      </c>
      <c r="Q68" s="42">
        <f t="shared" si="4"/>
        <v>41.536347391361382</v>
      </c>
      <c r="R68" s="61">
        <f t="shared" si="28"/>
        <v>360.60373957578076</v>
      </c>
      <c r="S68" s="61">
        <v>100</v>
      </c>
      <c r="T68" s="61">
        <f t="shared" si="29"/>
        <v>260.60373957578076</v>
      </c>
      <c r="U68" s="144">
        <f t="shared" si="7"/>
        <v>80134.164350173509</v>
      </c>
      <c r="V68" s="146">
        <f t="shared" si="8"/>
        <v>41.536347391361382</v>
      </c>
      <c r="W68" s="133">
        <f t="shared" si="16"/>
        <v>80134.164350173509</v>
      </c>
      <c r="X68" s="141">
        <f t="shared" si="8"/>
        <v>41.536347391361382</v>
      </c>
      <c r="Y68" s="147">
        <v>80935.505993675237</v>
      </c>
      <c r="Z68" s="139">
        <v>41.950906314120182</v>
      </c>
      <c r="AA68" s="150">
        <v>81744.861053611996</v>
      </c>
      <c r="AB68" s="149">
        <f t="shared" si="11"/>
        <v>42.370415377261381</v>
      </c>
      <c r="AC68" s="150">
        <f t="shared" si="30"/>
        <v>83379.758274684238</v>
      </c>
      <c r="AD68" s="149">
        <f t="shared" si="12"/>
        <v>43.217823684806611</v>
      </c>
      <c r="AE68" s="280"/>
      <c r="AF68" s="109"/>
      <c r="AG68" s="294"/>
      <c r="AH68" s="297"/>
      <c r="AI68" s="362"/>
      <c r="AJ68" s="266"/>
      <c r="AK68" s="266"/>
      <c r="AL68" s="266"/>
      <c r="AM68" s="343"/>
      <c r="AO68" s="304"/>
      <c r="AP68" s="39"/>
      <c r="AR68" s="299"/>
      <c r="AS68" s="299"/>
      <c r="AT68" s="299"/>
      <c r="AU68" s="299"/>
      <c r="AV68" s="21"/>
      <c r="AW68" s="21"/>
    </row>
    <row r="69" spans="1:49" ht="13.15" customHeight="1">
      <c r="A69" s="135">
        <v>69</v>
      </c>
      <c r="B69" s="15">
        <v>75000</v>
      </c>
      <c r="C69" s="76">
        <f>ROUND(B69*1.02475/1,0)*1</f>
        <v>76856</v>
      </c>
      <c r="D69" s="69">
        <f>(C69*2.45%)+C69</f>
        <v>78738.971999999994</v>
      </c>
      <c r="E69" s="69">
        <f>(C69*2.75%)+C69</f>
        <v>78969.539999999994</v>
      </c>
      <c r="F69" s="70">
        <v>78969.539999999994</v>
      </c>
      <c r="G69" s="71">
        <f t="shared" si="26"/>
        <v>79759.23539999999</v>
      </c>
      <c r="H69" s="71">
        <v>79759.23539999999</v>
      </c>
      <c r="I69" s="71">
        <v>79759.23539999999</v>
      </c>
      <c r="J69" s="72">
        <v>79759.23539999999</v>
      </c>
      <c r="K69" s="53">
        <f t="shared" si="27"/>
        <v>80556.827753999984</v>
      </c>
      <c r="L69" s="42">
        <f t="shared" ref="L69:L75" si="31">K69/52.142/37</f>
        <v>41.755428654806458</v>
      </c>
      <c r="M69" s="44">
        <f t="shared" si="21"/>
        <v>2147.6649847499793</v>
      </c>
      <c r="N69" s="45">
        <f t="shared" si="22"/>
        <v>2.7664389696151162E-2</v>
      </c>
      <c r="P69" s="85">
        <f t="shared" si="14"/>
        <v>82329.077964587981</v>
      </c>
      <c r="Q69" s="42">
        <f t="shared" ref="Q69:Q86" si="32">P69/52.142/37</f>
        <v>42.674048085212199</v>
      </c>
      <c r="R69" s="61">
        <f t="shared" si="28"/>
        <v>370.48085084064587</v>
      </c>
      <c r="S69" s="61">
        <v>100</v>
      </c>
      <c r="T69" s="61">
        <f t="shared" si="29"/>
        <v>270.48085084064587</v>
      </c>
      <c r="U69" s="144">
        <f t="shared" si="7"/>
        <v>82329.077964587981</v>
      </c>
      <c r="V69" s="146">
        <f t="shared" si="8"/>
        <v>42.674048085212199</v>
      </c>
      <c r="W69" s="133">
        <f t="shared" si="16"/>
        <v>82329.077964587981</v>
      </c>
      <c r="X69" s="141">
        <f t="shared" si="8"/>
        <v>42.674048085212199</v>
      </c>
      <c r="Y69" s="147">
        <v>83152.368744233856</v>
      </c>
      <c r="Z69" s="139">
        <v>43.099961977863295</v>
      </c>
      <c r="AA69" s="150">
        <v>83983.892431676199</v>
      </c>
      <c r="AB69" s="149">
        <f t="shared" si="11"/>
        <v>43.530961597641934</v>
      </c>
      <c r="AC69" s="150">
        <f t="shared" si="30"/>
        <v>85663.570280309723</v>
      </c>
      <c r="AD69" s="149">
        <f t="shared" si="12"/>
        <v>44.401580829594764</v>
      </c>
      <c r="AE69" s="280"/>
      <c r="AF69" s="109"/>
      <c r="AG69" s="294"/>
      <c r="AH69" s="297"/>
      <c r="AI69" s="362"/>
      <c r="AJ69" s="266"/>
      <c r="AK69" s="266"/>
      <c r="AL69" s="266"/>
      <c r="AM69" s="343"/>
      <c r="AO69" s="304"/>
      <c r="AP69" s="39"/>
      <c r="AR69" s="299"/>
      <c r="AS69" s="299"/>
      <c r="AT69" s="299"/>
      <c r="AU69" s="299"/>
      <c r="AV69" s="21"/>
      <c r="AW69" s="21"/>
    </row>
    <row r="70" spans="1:49" ht="12.75" customHeight="1">
      <c r="A70" s="135">
        <v>70</v>
      </c>
      <c r="B70" s="15" t="s">
        <v>99</v>
      </c>
      <c r="C70" s="76" t="s">
        <v>99</v>
      </c>
      <c r="D70" s="69" t="s">
        <v>99</v>
      </c>
      <c r="E70" s="75">
        <v>81733</v>
      </c>
      <c r="F70" s="77">
        <v>81733</v>
      </c>
      <c r="G70" s="71">
        <f t="shared" si="26"/>
        <v>82550.33</v>
      </c>
      <c r="H70" s="71">
        <v>82550.33</v>
      </c>
      <c r="I70" s="71">
        <v>82550.33</v>
      </c>
      <c r="J70" s="72">
        <v>82550.33</v>
      </c>
      <c r="K70" s="53">
        <f t="shared" si="27"/>
        <v>83375.833299999998</v>
      </c>
      <c r="L70" s="42">
        <f t="shared" si="31"/>
        <v>43.216618081393115</v>
      </c>
      <c r="M70" s="44">
        <f t="shared" si="21"/>
        <v>2819.0055460000149</v>
      </c>
      <c r="N70" s="45">
        <f t="shared" ref="N70:N75" si="33">M70/J69</f>
        <v>3.5343938941521186E-2</v>
      </c>
      <c r="P70" s="85">
        <f t="shared" si="14"/>
        <v>85210.101632599995</v>
      </c>
      <c r="Q70" s="42">
        <f t="shared" si="32"/>
        <v>44.167383679183764</v>
      </c>
      <c r="R70" s="61">
        <f t="shared" si="28"/>
        <v>383.44545734669992</v>
      </c>
      <c r="S70" s="61">
        <v>100</v>
      </c>
      <c r="T70" s="61">
        <f t="shared" si="29"/>
        <v>283.44545734669992</v>
      </c>
      <c r="U70" s="144">
        <f t="shared" ref="U70:U86" si="34">P70</f>
        <v>85210.101632599995</v>
      </c>
      <c r="V70" s="146">
        <f t="shared" ref="V70:X75" si="35">U70/52.142/37</f>
        <v>44.167383679183764</v>
      </c>
      <c r="W70" s="133">
        <f t="shared" si="16"/>
        <v>85210.101632599995</v>
      </c>
      <c r="X70" s="141">
        <f t="shared" si="35"/>
        <v>44.167383679183764</v>
      </c>
      <c r="Y70" s="147">
        <v>86062.202648926002</v>
      </c>
      <c r="Z70" s="139">
        <v>44.608202002147941</v>
      </c>
      <c r="AA70" s="150">
        <v>86922.824675415264</v>
      </c>
      <c r="AB70" s="149">
        <f t="shared" si="11"/>
        <v>45.054284022169419</v>
      </c>
      <c r="AC70" s="150">
        <f t="shared" si="30"/>
        <v>88661.281168923568</v>
      </c>
      <c r="AD70" s="149">
        <f t="shared" si="12"/>
        <v>45.955369702612806</v>
      </c>
      <c r="AE70" s="281"/>
      <c r="AF70" s="116"/>
      <c r="AG70" s="294"/>
      <c r="AH70" s="297"/>
      <c r="AI70" s="362"/>
      <c r="AJ70" s="267"/>
      <c r="AK70" s="267"/>
      <c r="AL70" s="267"/>
      <c r="AM70" s="344">
        <v>0.105</v>
      </c>
      <c r="AO70" s="304"/>
      <c r="AR70" s="299"/>
      <c r="AS70" s="299"/>
      <c r="AT70" s="299"/>
      <c r="AU70" s="299"/>
      <c r="AV70" s="21"/>
      <c r="AW70" s="21"/>
    </row>
    <row r="71" spans="1:49" ht="13.5" customHeight="1">
      <c r="A71" s="135">
        <v>71</v>
      </c>
      <c r="B71" s="15" t="s">
        <v>99</v>
      </c>
      <c r="C71" s="76" t="s">
        <v>99</v>
      </c>
      <c r="D71" s="69" t="s">
        <v>99</v>
      </c>
      <c r="E71" s="75">
        <v>84496</v>
      </c>
      <c r="F71" s="78">
        <v>84496</v>
      </c>
      <c r="G71" s="79">
        <f t="shared" si="26"/>
        <v>85340.96</v>
      </c>
      <c r="H71" s="79">
        <v>85340.96</v>
      </c>
      <c r="I71" s="79">
        <v>85340.96</v>
      </c>
      <c r="J71" s="80">
        <v>85340.96</v>
      </c>
      <c r="K71" s="56">
        <f t="shared" si="27"/>
        <v>86194.369600000005</v>
      </c>
      <c r="L71" s="57">
        <f t="shared" si="31"/>
        <v>44.677564281323249</v>
      </c>
      <c r="M71" s="44">
        <f t="shared" si="21"/>
        <v>2818.536300000007</v>
      </c>
      <c r="N71" s="45">
        <f t="shared" si="33"/>
        <v>3.4143246913731377E-2</v>
      </c>
      <c r="P71" s="85">
        <f t="shared" si="14"/>
        <v>88090.645731200013</v>
      </c>
      <c r="Q71" s="42">
        <f t="shared" si="32"/>
        <v>45.660470695512359</v>
      </c>
      <c r="R71" s="61">
        <f t="shared" si="28"/>
        <v>396.40790579040004</v>
      </c>
      <c r="S71" s="61">
        <v>100</v>
      </c>
      <c r="T71" s="61">
        <f t="shared" si="29"/>
        <v>296.40790579040004</v>
      </c>
      <c r="U71" s="144">
        <f t="shared" si="34"/>
        <v>88090.645731200013</v>
      </c>
      <c r="V71" s="146">
        <f t="shared" si="35"/>
        <v>45.660470695512359</v>
      </c>
      <c r="W71" s="133">
        <f t="shared" si="16"/>
        <v>88090.645731200013</v>
      </c>
      <c r="X71" s="141">
        <f t="shared" si="35"/>
        <v>45.660470695512359</v>
      </c>
      <c r="Y71" s="147">
        <v>88971.552188512011</v>
      </c>
      <c r="Z71" s="139">
        <v>46.116190967828082</v>
      </c>
      <c r="AA71" s="150">
        <v>89861.267710397136</v>
      </c>
      <c r="AB71" s="149">
        <f t="shared" ref="AB71:AB86" si="36">(AA71/52.143)/37</f>
        <v>46.577352877506364</v>
      </c>
      <c r="AC71" s="150">
        <f t="shared" si="30"/>
        <v>91658.493064605078</v>
      </c>
      <c r="AD71" s="149">
        <f t="shared" ref="AD71:AD75" si="37">AC71/52.143/37</f>
        <v>47.508899935056498</v>
      </c>
      <c r="AE71" s="282"/>
      <c r="AF71" s="125"/>
      <c r="AG71" s="294"/>
      <c r="AH71" s="297"/>
      <c r="AI71" s="363"/>
      <c r="AJ71" s="268">
        <v>0.105</v>
      </c>
      <c r="AK71" s="268">
        <v>0.105</v>
      </c>
      <c r="AL71" s="366">
        <v>0.105</v>
      </c>
      <c r="AM71" s="344"/>
      <c r="AO71" s="305"/>
    </row>
    <row r="72" spans="1:49" ht="12.75" customHeight="1">
      <c r="A72" s="136">
        <v>72</v>
      </c>
      <c r="K72" s="81">
        <f>88134*1%+88134</f>
        <v>89015.34</v>
      </c>
      <c r="L72" s="57">
        <f t="shared" si="31"/>
        <v>46.139772160638252</v>
      </c>
      <c r="M72" s="44">
        <f>K72-K71</f>
        <v>2820.9703999999911</v>
      </c>
      <c r="N72" s="45">
        <f t="shared" si="33"/>
        <v>3.3055292558227499E-2</v>
      </c>
      <c r="P72" s="85">
        <f>SUM(K72*1.022)</f>
        <v>90973.677479999998</v>
      </c>
      <c r="Q72" s="42">
        <f t="shared" si="32"/>
        <v>47.154847148172294</v>
      </c>
      <c r="R72" s="61">
        <f>SUM(P72*0.0045)</f>
        <v>409.38154865999996</v>
      </c>
      <c r="S72" s="61">
        <v>100</v>
      </c>
      <c r="T72" s="61">
        <f>SUM(R72-S72)</f>
        <v>309.38154865999996</v>
      </c>
      <c r="U72" s="144">
        <f t="shared" si="34"/>
        <v>90973.677479999998</v>
      </c>
      <c r="V72" s="146">
        <f t="shared" si="35"/>
        <v>47.154847148172294</v>
      </c>
      <c r="W72" s="133">
        <f t="shared" si="16"/>
        <v>90973.677479999998</v>
      </c>
      <c r="X72" s="141">
        <f t="shared" si="35"/>
        <v>47.154847148172294</v>
      </c>
      <c r="Y72" s="147">
        <v>91883.414254799995</v>
      </c>
      <c r="Z72" s="139">
        <v>47.625482239226741</v>
      </c>
      <c r="AA72" s="150">
        <v>92802.248397347998</v>
      </c>
      <c r="AB72" s="149">
        <f t="shared" si="36"/>
        <v>48.101737061619012</v>
      </c>
      <c r="AC72" s="150">
        <f t="shared" si="30"/>
        <v>94658.293365294958</v>
      </c>
      <c r="AD72" s="149">
        <f t="shared" si="37"/>
        <v>49.063771802851385</v>
      </c>
      <c r="AE72" s="252" t="s">
        <v>123</v>
      </c>
      <c r="AG72" s="294"/>
      <c r="AH72" s="297"/>
      <c r="AI72" s="287">
        <v>7.4999999999999997E-2</v>
      </c>
      <c r="AJ72" s="269"/>
      <c r="AK72" s="269"/>
      <c r="AL72" s="367"/>
      <c r="AM72" s="344"/>
      <c r="AN72" s="336" t="s">
        <v>113</v>
      </c>
    </row>
    <row r="73" spans="1:49">
      <c r="A73" s="136">
        <v>73</v>
      </c>
      <c r="K73" s="81">
        <f>91971*1%+91971</f>
        <v>92890.71</v>
      </c>
      <c r="L73" s="57">
        <f t="shared" si="31"/>
        <v>48.148512326526209</v>
      </c>
      <c r="M73" s="44">
        <f>K73-K72</f>
        <v>3875.3700000000099</v>
      </c>
      <c r="N73" s="45" t="e">
        <f t="shared" si="33"/>
        <v>#DIV/0!</v>
      </c>
      <c r="P73" s="85">
        <f>SUM(K73*1.022)</f>
        <v>94934.305620000014</v>
      </c>
      <c r="Q73" s="42">
        <f t="shared" si="32"/>
        <v>49.207779597709788</v>
      </c>
      <c r="R73" s="61">
        <f>SUM(P73*0.0045)</f>
        <v>427.20437529000003</v>
      </c>
      <c r="S73" s="61">
        <v>100</v>
      </c>
      <c r="T73" s="61">
        <f>SUM(R73-S73)</f>
        <v>327.20437529000003</v>
      </c>
      <c r="U73" s="144">
        <f t="shared" si="34"/>
        <v>94934.305620000014</v>
      </c>
      <c r="V73" s="146">
        <f t="shared" si="35"/>
        <v>49.207779597709788</v>
      </c>
      <c r="W73" s="133">
        <f t="shared" si="16"/>
        <v>94934.305620000014</v>
      </c>
      <c r="X73" s="141">
        <f t="shared" si="35"/>
        <v>49.207779597709788</v>
      </c>
      <c r="Y73" s="147">
        <v>95883.648676200013</v>
      </c>
      <c r="Z73" s="139">
        <v>49.698904248348228</v>
      </c>
      <c r="AA73" s="150">
        <v>96842.48516296201</v>
      </c>
      <c r="AB73" s="149">
        <f t="shared" si="36"/>
        <v>50.195893290831712</v>
      </c>
      <c r="AC73" s="150">
        <f t="shared" si="30"/>
        <v>98779.334866221252</v>
      </c>
      <c r="AD73" s="149">
        <f t="shared" si="37"/>
        <v>51.199811156648344</v>
      </c>
      <c r="AE73" s="253"/>
      <c r="AG73" s="294"/>
      <c r="AH73" s="297"/>
      <c r="AI73" s="288"/>
      <c r="AJ73" s="269"/>
      <c r="AK73" s="269"/>
      <c r="AL73" s="367"/>
      <c r="AM73" s="344"/>
      <c r="AN73" s="337"/>
    </row>
    <row r="74" spans="1:49" ht="34.15" customHeight="1">
      <c r="A74" s="136">
        <v>74</v>
      </c>
      <c r="K74" s="93">
        <f>95704*1%+95704</f>
        <v>96661.04</v>
      </c>
      <c r="L74" s="42">
        <f t="shared" si="31"/>
        <v>50.102806577049982</v>
      </c>
      <c r="M74" s="44">
        <f>K74-K73</f>
        <v>3770.3299999999872</v>
      </c>
      <c r="N74" s="45" t="e">
        <f t="shared" si="33"/>
        <v>#DIV/0!</v>
      </c>
      <c r="P74" s="85">
        <f>SUM(K74*1.022)</f>
        <v>98787.582880000002</v>
      </c>
      <c r="Q74" s="42">
        <f t="shared" si="32"/>
        <v>51.205068321745081</v>
      </c>
      <c r="R74" s="61">
        <f>SUM(P74*0.0045)</f>
        <v>444.54412295999998</v>
      </c>
      <c r="S74" s="61">
        <v>100</v>
      </c>
      <c r="T74" s="61">
        <f>SUM(R74-S74)</f>
        <v>344.54412295999998</v>
      </c>
      <c r="U74" s="144">
        <f t="shared" si="34"/>
        <v>98787.582880000002</v>
      </c>
      <c r="V74" s="146">
        <f t="shared" si="35"/>
        <v>51.205068321745081</v>
      </c>
      <c r="W74" s="133">
        <f t="shared" si="16"/>
        <v>98787.582880000002</v>
      </c>
      <c r="X74" s="141">
        <f t="shared" si="35"/>
        <v>51.205068321745081</v>
      </c>
      <c r="Y74" s="147">
        <v>99775.458708799997</v>
      </c>
      <c r="Z74" s="139">
        <v>51.716127172520892</v>
      </c>
      <c r="AA74" s="150">
        <v>100773.213295888</v>
      </c>
      <c r="AB74" s="149">
        <f t="shared" si="36"/>
        <v>52.233288444246099</v>
      </c>
      <c r="AC74" s="150">
        <f t="shared" si="30"/>
        <v>102788.67756180576</v>
      </c>
      <c r="AD74" s="149">
        <f t="shared" si="37"/>
        <v>53.277954213131018</v>
      </c>
      <c r="AE74" s="253"/>
      <c r="AG74" s="294"/>
      <c r="AH74" s="297"/>
      <c r="AI74" s="288"/>
      <c r="AJ74" s="270"/>
      <c r="AK74" s="270"/>
      <c r="AL74" s="367"/>
      <c r="AM74" s="344"/>
      <c r="AN74" s="337"/>
    </row>
    <row r="75" spans="1:49" ht="27" customHeight="1">
      <c r="A75" s="136">
        <v>75</v>
      </c>
      <c r="B75" s="74"/>
      <c r="C75" s="74"/>
      <c r="D75" s="74"/>
      <c r="E75" s="74"/>
      <c r="F75" s="74"/>
      <c r="G75" s="74"/>
      <c r="H75" s="74"/>
      <c r="I75" s="74"/>
      <c r="J75" s="94"/>
      <c r="K75" s="95">
        <f>99540*1%+99540</f>
        <v>100535.4</v>
      </c>
      <c r="L75" s="96">
        <f t="shared" si="31"/>
        <v>52.111023224520977</v>
      </c>
      <c r="M75" s="97">
        <f>K75-K74</f>
        <v>3874.3600000000006</v>
      </c>
      <c r="N75" s="98" t="e">
        <f t="shared" si="33"/>
        <v>#DIV/0!</v>
      </c>
      <c r="O75" s="74"/>
      <c r="P75" s="99">
        <f>SUM(K75*1.022)</f>
        <v>102747.17879999999</v>
      </c>
      <c r="Q75" s="92">
        <f t="shared" si="32"/>
        <v>53.257465735460435</v>
      </c>
      <c r="R75" s="61">
        <f>SUM(P75*0.0045)</f>
        <v>462.36230459999996</v>
      </c>
      <c r="S75" s="61">
        <v>100</v>
      </c>
      <c r="T75" s="61">
        <f>SUM(R75-S75)</f>
        <v>362.36230459999996</v>
      </c>
      <c r="U75" s="144">
        <f t="shared" si="34"/>
        <v>102747.17879999999</v>
      </c>
      <c r="V75" s="146">
        <f t="shared" si="35"/>
        <v>53.257465735460435</v>
      </c>
      <c r="W75" s="133">
        <f t="shared" si="16"/>
        <v>102747.17879999999</v>
      </c>
      <c r="X75" s="141">
        <f t="shared" si="35"/>
        <v>53.257465735460435</v>
      </c>
      <c r="Y75" s="147">
        <v>103774.65058799999</v>
      </c>
      <c r="Z75" s="139">
        <v>53.789008805825553</v>
      </c>
      <c r="AA75" s="150">
        <v>104812.39709387999</v>
      </c>
      <c r="AB75" s="149">
        <f t="shared" si="36"/>
        <v>54.326898893883808</v>
      </c>
      <c r="AC75" s="150">
        <f t="shared" si="30"/>
        <v>106908.6450357576</v>
      </c>
      <c r="AD75" s="149">
        <f t="shared" si="37"/>
        <v>55.41343687176149</v>
      </c>
      <c r="AE75" s="253"/>
      <c r="AG75" s="294"/>
      <c r="AH75" s="297"/>
      <c r="AI75" s="289"/>
      <c r="AJ75" s="271">
        <v>0.114</v>
      </c>
      <c r="AK75" s="271">
        <v>0.114</v>
      </c>
      <c r="AL75" s="368">
        <v>0.114</v>
      </c>
      <c r="AM75" s="271">
        <v>0.114</v>
      </c>
      <c r="AN75" s="337"/>
    </row>
    <row r="76" spans="1:49" ht="12.75" customHeight="1">
      <c r="A76" s="137">
        <v>76</v>
      </c>
      <c r="B76" s="74"/>
      <c r="C76" s="74"/>
      <c r="D76" s="74"/>
      <c r="E76" s="74"/>
      <c r="F76" s="74"/>
      <c r="G76" s="74"/>
      <c r="H76" s="74"/>
      <c r="I76" s="74"/>
      <c r="J76" s="94"/>
      <c r="K76" s="96"/>
      <c r="L76" s="96">
        <f t="shared" ref="L76:L86" si="38">P76/52.142/37</f>
        <v>55.710274800518739</v>
      </c>
      <c r="M76" s="96"/>
      <c r="N76" s="96"/>
      <c r="O76" s="74"/>
      <c r="P76" s="100">
        <v>107479.2705</v>
      </c>
      <c r="Q76" s="92">
        <f t="shared" si="32"/>
        <v>55.710274800518739</v>
      </c>
      <c r="U76" s="144">
        <f t="shared" si="34"/>
        <v>107479.2705</v>
      </c>
      <c r="V76" s="146">
        <v>55.710274800518739</v>
      </c>
      <c r="W76" s="133">
        <f t="shared" ref="W76:W86" si="39">U76</f>
        <v>107479.2705</v>
      </c>
      <c r="X76" s="141">
        <v>55.710274800518739</v>
      </c>
      <c r="Y76" s="147">
        <f>107479.2705*1.01</f>
        <v>108554.063205</v>
      </c>
      <c r="Z76" s="139">
        <f>Y76/52.142/37</f>
        <v>56.267377548523939</v>
      </c>
      <c r="AA76" s="150">
        <f>Y76*1.01</f>
        <v>109639.60383705</v>
      </c>
      <c r="AB76" s="149">
        <f t="shared" si="36"/>
        <v>56.828961435599922</v>
      </c>
      <c r="AC76" s="249"/>
      <c r="AD76" s="245"/>
      <c r="AE76" s="253"/>
      <c r="AG76" s="294"/>
      <c r="AH76" s="297"/>
      <c r="AI76" s="15"/>
      <c r="AJ76" s="271"/>
      <c r="AK76" s="271"/>
      <c r="AL76" s="368"/>
      <c r="AM76" s="271"/>
      <c r="AN76" s="338" t="s">
        <v>115</v>
      </c>
      <c r="AO76" s="117"/>
      <c r="AP76" s="15"/>
    </row>
    <row r="77" spans="1:49">
      <c r="A77" s="137">
        <v>77</v>
      </c>
      <c r="B77" s="74"/>
      <c r="C77" s="74"/>
      <c r="D77" s="74"/>
      <c r="E77" s="74"/>
      <c r="F77" s="74"/>
      <c r="G77" s="74"/>
      <c r="H77" s="74"/>
      <c r="I77" s="74"/>
      <c r="J77" s="94"/>
      <c r="K77" s="96"/>
      <c r="L77" s="96">
        <f t="shared" si="38"/>
        <v>57.673508516763462</v>
      </c>
      <c r="M77" s="96"/>
      <c r="N77" s="96"/>
      <c r="O77" s="74"/>
      <c r="P77" s="100">
        <v>111266.84699999999</v>
      </c>
      <c r="Q77" s="92">
        <f t="shared" si="32"/>
        <v>57.673508516763462</v>
      </c>
      <c r="U77" s="144">
        <f t="shared" si="34"/>
        <v>111266.84699999999</v>
      </c>
      <c r="V77" s="146">
        <v>57.673508516763462</v>
      </c>
      <c r="W77" s="133">
        <f t="shared" si="39"/>
        <v>111266.84699999999</v>
      </c>
      <c r="X77" s="141">
        <v>57.673508516763462</v>
      </c>
      <c r="Y77" s="147">
        <f>111266.847*1.01</f>
        <v>112379.51547</v>
      </c>
      <c r="Z77" s="139">
        <f>Y77/52.142/37</f>
        <v>58.250243601931103</v>
      </c>
      <c r="AA77" s="150">
        <f t="shared" ref="AA77:AA86" si="40">Y77*1.01</f>
        <v>113503.3106247</v>
      </c>
      <c r="AB77" s="149">
        <f t="shared" si="36"/>
        <v>58.831617741802553</v>
      </c>
      <c r="AC77" s="249"/>
      <c r="AD77" s="245"/>
      <c r="AE77" s="253"/>
      <c r="AG77" s="294"/>
      <c r="AH77" s="297"/>
      <c r="AI77" s="15"/>
      <c r="AJ77" s="271"/>
      <c r="AK77" s="271"/>
      <c r="AL77" s="368"/>
      <c r="AM77" s="271"/>
      <c r="AN77" s="339"/>
      <c r="AO77" s="117"/>
      <c r="AP77" s="15"/>
    </row>
    <row r="78" spans="1:49">
      <c r="A78" s="137">
        <v>78</v>
      </c>
      <c r="B78" s="74"/>
      <c r="C78" s="74"/>
      <c r="D78" s="74"/>
      <c r="E78" s="74"/>
      <c r="F78" s="74"/>
      <c r="G78" s="74"/>
      <c r="H78" s="74"/>
      <c r="I78" s="74"/>
      <c r="J78" s="94"/>
      <c r="K78" s="96"/>
      <c r="L78" s="96">
        <f t="shared" si="38"/>
        <v>59.583638805465732</v>
      </c>
      <c r="M78" s="96"/>
      <c r="N78" s="96"/>
      <c r="O78" s="74"/>
      <c r="P78" s="100">
        <v>114951.97349999999</v>
      </c>
      <c r="Q78" s="92">
        <f t="shared" si="32"/>
        <v>59.583638805465732</v>
      </c>
      <c r="U78" s="144">
        <f t="shared" si="34"/>
        <v>114951.97349999999</v>
      </c>
      <c r="V78" s="146">
        <v>59.583638805465732</v>
      </c>
      <c r="W78" s="133">
        <f t="shared" si="39"/>
        <v>114951.97349999999</v>
      </c>
      <c r="X78" s="141">
        <v>59.583638805465732</v>
      </c>
      <c r="Y78" s="147">
        <f>114951.9735*1.01</f>
        <v>116101.49323499999</v>
      </c>
      <c r="Z78" s="139">
        <f t="shared" ref="Z78:Z86" si="41">Y78/52.142/37</f>
        <v>60.179475193520389</v>
      </c>
      <c r="AA78" s="150">
        <f t="shared" si="40"/>
        <v>117262.50816735</v>
      </c>
      <c r="AB78" s="149">
        <f t="shared" si="36"/>
        <v>60.780104280458474</v>
      </c>
      <c r="AC78" s="249"/>
      <c r="AD78" s="245"/>
      <c r="AE78" s="253"/>
      <c r="AG78" s="294"/>
      <c r="AH78" s="297"/>
      <c r="AI78" s="15"/>
      <c r="AJ78" s="271"/>
      <c r="AK78" s="271"/>
      <c r="AL78" s="368"/>
      <c r="AM78" s="271"/>
      <c r="AN78" s="339"/>
      <c r="AO78" s="117"/>
      <c r="AP78" s="15"/>
    </row>
    <row r="79" spans="1:49">
      <c r="A79" s="137">
        <v>79</v>
      </c>
      <c r="B79" s="74"/>
      <c r="C79" s="74"/>
      <c r="D79" s="74"/>
      <c r="E79" s="74"/>
      <c r="F79" s="74"/>
      <c r="G79" s="74"/>
      <c r="H79" s="74"/>
      <c r="I79" s="74"/>
      <c r="J79" s="94"/>
      <c r="K79" s="96"/>
      <c r="L79" s="96">
        <f t="shared" si="38"/>
        <v>61.546341487435036</v>
      </c>
      <c r="M79" s="96"/>
      <c r="N79" s="96"/>
      <c r="O79" s="74"/>
      <c r="P79" s="100">
        <v>118738.5255</v>
      </c>
      <c r="Q79" s="92">
        <f t="shared" si="32"/>
        <v>61.546341487435036</v>
      </c>
      <c r="U79" s="144">
        <f t="shared" si="34"/>
        <v>118738.5255</v>
      </c>
      <c r="V79" s="146">
        <v>61.546341487435036</v>
      </c>
      <c r="W79" s="133">
        <f t="shared" si="39"/>
        <v>118738.5255</v>
      </c>
      <c r="X79" s="141">
        <v>61.546341487435036</v>
      </c>
      <c r="Y79" s="147">
        <f>118738.5255*1.01</f>
        <v>119925.910755</v>
      </c>
      <c r="Z79" s="139">
        <f t="shared" si="41"/>
        <v>62.161804902309392</v>
      </c>
      <c r="AA79" s="150">
        <f t="shared" si="40"/>
        <v>121125.16986255</v>
      </c>
      <c r="AB79" s="149">
        <f t="shared" si="36"/>
        <v>62.782218888985646</v>
      </c>
      <c r="AC79" s="249"/>
      <c r="AD79" s="245"/>
      <c r="AE79" s="253"/>
      <c r="AF79" s="284" t="s">
        <v>116</v>
      </c>
      <c r="AG79" s="294"/>
      <c r="AH79" s="297"/>
      <c r="AI79" s="15"/>
      <c r="AJ79" s="271"/>
      <c r="AK79" s="271"/>
      <c r="AL79" s="368"/>
      <c r="AM79" s="271"/>
      <c r="AN79" s="339"/>
      <c r="AO79" s="315" t="s">
        <v>116</v>
      </c>
      <c r="AP79" s="15"/>
    </row>
    <row r="80" spans="1:49">
      <c r="A80" s="137">
        <v>80</v>
      </c>
      <c r="B80" s="74"/>
      <c r="C80" s="74"/>
      <c r="D80" s="74"/>
      <c r="E80" s="74"/>
      <c r="F80" s="74"/>
      <c r="G80" s="74"/>
      <c r="H80" s="74"/>
      <c r="I80" s="74"/>
      <c r="J80" s="94"/>
      <c r="K80" s="96"/>
      <c r="L80" s="96">
        <f t="shared" si="38"/>
        <v>63.315216658874355</v>
      </c>
      <c r="M80" s="96"/>
      <c r="N80" s="96"/>
      <c r="O80" s="74"/>
      <c r="P80" s="100">
        <v>122151.13499999999</v>
      </c>
      <c r="Q80" s="92">
        <f t="shared" si="32"/>
        <v>63.315216658874355</v>
      </c>
      <c r="U80" s="144">
        <f t="shared" si="34"/>
        <v>122151.13499999999</v>
      </c>
      <c r="V80" s="146">
        <v>63.315216658874355</v>
      </c>
      <c r="W80" s="133">
        <f t="shared" si="39"/>
        <v>122151.13499999999</v>
      </c>
      <c r="X80" s="141">
        <v>63.315216658874355</v>
      </c>
      <c r="Y80" s="147">
        <f>122151.135*1.01</f>
        <v>123372.64635</v>
      </c>
      <c r="Z80" s="139">
        <f t="shared" si="41"/>
        <v>63.948368825463099</v>
      </c>
      <c r="AA80" s="150">
        <f t="shared" si="40"/>
        <v>124606.3728135</v>
      </c>
      <c r="AB80" s="149">
        <f t="shared" si="36"/>
        <v>64.58661384596725</v>
      </c>
      <c r="AC80" s="249"/>
      <c r="AD80" s="245"/>
      <c r="AE80" s="253"/>
      <c r="AF80" s="285"/>
      <c r="AG80" s="294"/>
      <c r="AH80" s="297"/>
      <c r="AI80" s="15"/>
      <c r="AJ80" s="271"/>
      <c r="AK80" s="271"/>
      <c r="AL80" s="368"/>
      <c r="AM80" s="271"/>
      <c r="AN80" s="117"/>
      <c r="AO80" s="316"/>
      <c r="AP80" s="15"/>
    </row>
    <row r="81" spans="1:42">
      <c r="A81" s="137">
        <v>81</v>
      </c>
      <c r="B81" s="74"/>
      <c r="C81" s="74"/>
      <c r="D81" s="74"/>
      <c r="E81" s="74"/>
      <c r="F81" s="74"/>
      <c r="G81" s="74"/>
      <c r="H81" s="74"/>
      <c r="I81" s="74"/>
      <c r="J81" s="94"/>
      <c r="K81" s="96"/>
      <c r="L81" s="96">
        <f t="shared" si="38"/>
        <v>65.083560796038256</v>
      </c>
      <c r="M81" s="96"/>
      <c r="N81" s="96"/>
      <c r="O81" s="74"/>
      <c r="P81" s="100">
        <v>125562.72</v>
      </c>
      <c r="Q81" s="92">
        <f t="shared" si="32"/>
        <v>65.083560796038256</v>
      </c>
      <c r="U81" s="144">
        <f t="shared" si="34"/>
        <v>125562.72</v>
      </c>
      <c r="V81" s="146">
        <v>65.083560796038256</v>
      </c>
      <c r="W81" s="133">
        <f t="shared" si="39"/>
        <v>125562.72</v>
      </c>
      <c r="X81" s="141">
        <v>65.083560796038256</v>
      </c>
      <c r="Y81" s="147">
        <f>125562.72*1.01</f>
        <v>126818.3472</v>
      </c>
      <c r="Z81" s="139">
        <f t="shared" si="41"/>
        <v>65.734396403998645</v>
      </c>
      <c r="AA81" s="150">
        <f t="shared" si="40"/>
        <v>128086.53067200001</v>
      </c>
      <c r="AB81" s="149">
        <f t="shared" si="36"/>
        <v>66.390467105273402</v>
      </c>
      <c r="AC81" s="249"/>
      <c r="AD81" s="245"/>
      <c r="AE81" s="253"/>
      <c r="AF81" s="285"/>
      <c r="AG81" s="294"/>
      <c r="AH81" s="297"/>
      <c r="AI81" s="15"/>
      <c r="AJ81" s="271"/>
      <c r="AK81" s="271"/>
      <c r="AL81" s="368"/>
      <c r="AM81" s="271"/>
      <c r="AN81" s="117"/>
      <c r="AO81" s="316"/>
      <c r="AP81" s="15"/>
    </row>
    <row r="82" spans="1:42">
      <c r="A82" s="137">
        <v>82</v>
      </c>
      <c r="B82" s="74"/>
      <c r="C82" s="74"/>
      <c r="D82" s="74"/>
      <c r="E82" s="74"/>
      <c r="F82" s="74"/>
      <c r="G82" s="74"/>
      <c r="H82" s="74"/>
      <c r="I82" s="74"/>
      <c r="J82" s="94"/>
      <c r="K82" s="96"/>
      <c r="L82" s="96">
        <f t="shared" si="38"/>
        <v>66.852435967477589</v>
      </c>
      <c r="M82" s="96"/>
      <c r="N82" s="96"/>
      <c r="O82" s="74"/>
      <c r="P82" s="100">
        <v>128975.32950000001</v>
      </c>
      <c r="Q82" s="92">
        <f t="shared" si="32"/>
        <v>66.852435967477589</v>
      </c>
      <c r="U82" s="144">
        <f t="shared" si="34"/>
        <v>128975.32950000001</v>
      </c>
      <c r="V82" s="146">
        <v>66.852435967477589</v>
      </c>
      <c r="W82" s="133">
        <f t="shared" si="39"/>
        <v>128975.32950000001</v>
      </c>
      <c r="X82" s="141">
        <v>66.852435967477589</v>
      </c>
      <c r="Y82" s="147">
        <f>128975.3295*1.01</f>
        <v>130265.08279500001</v>
      </c>
      <c r="Z82" s="139">
        <f t="shared" si="41"/>
        <v>67.520960327152366</v>
      </c>
      <c r="AA82" s="150">
        <f t="shared" si="40"/>
        <v>131567.73362295001</v>
      </c>
      <c r="AB82" s="149">
        <f t="shared" si="36"/>
        <v>68.194862062254998</v>
      </c>
      <c r="AC82" s="249"/>
      <c r="AD82" s="245"/>
      <c r="AE82" s="253"/>
      <c r="AF82" s="285"/>
      <c r="AG82" s="294"/>
      <c r="AH82" s="297"/>
      <c r="AI82" s="15"/>
      <c r="AJ82" s="271"/>
      <c r="AK82" s="271"/>
      <c r="AL82" s="369"/>
      <c r="AM82" s="271"/>
      <c r="AN82" s="117"/>
      <c r="AO82" s="316"/>
      <c r="AP82" s="15"/>
    </row>
    <row r="83" spans="1:42" ht="12.75" customHeight="1">
      <c r="A83" s="137">
        <v>83</v>
      </c>
      <c r="B83" s="74"/>
      <c r="C83" s="74"/>
      <c r="D83" s="74"/>
      <c r="E83" s="74"/>
      <c r="F83" s="74"/>
      <c r="G83" s="74"/>
      <c r="H83" s="74"/>
      <c r="I83" s="74"/>
      <c r="J83" s="94"/>
      <c r="K83" s="96"/>
      <c r="L83" s="96">
        <f t="shared" si="38"/>
        <v>80.34193527653693</v>
      </c>
      <c r="M83" s="96"/>
      <c r="N83" s="96"/>
      <c r="O83" s="74"/>
      <c r="P83" s="100">
        <v>155000</v>
      </c>
      <c r="Q83" s="92">
        <f t="shared" si="32"/>
        <v>80.34193527653693</v>
      </c>
      <c r="U83" s="144">
        <f t="shared" si="34"/>
        <v>155000</v>
      </c>
      <c r="V83" s="146">
        <v>80.34193527653693</v>
      </c>
      <c r="W83" s="133">
        <f t="shared" si="39"/>
        <v>155000</v>
      </c>
      <c r="X83" s="141">
        <v>80.34193527653693</v>
      </c>
      <c r="Y83" s="147">
        <f>155000*1.01</f>
        <v>156550</v>
      </c>
      <c r="Z83" s="139">
        <f t="shared" si="41"/>
        <v>81.145354629302304</v>
      </c>
      <c r="AA83" s="150">
        <f t="shared" si="40"/>
        <v>158115.5</v>
      </c>
      <c r="AB83" s="149">
        <f t="shared" si="36"/>
        <v>81.955236405498184</v>
      </c>
      <c r="AC83" s="246"/>
      <c r="AD83" s="242"/>
      <c r="AE83" s="254" t="s">
        <v>124</v>
      </c>
      <c r="AG83" s="294"/>
      <c r="AH83" s="345">
        <v>0.45</v>
      </c>
      <c r="AI83" s="15"/>
      <c r="AJ83" s="272">
        <v>0.125</v>
      </c>
      <c r="AK83" s="272">
        <v>0.125</v>
      </c>
      <c r="AL83" s="272">
        <v>0.125</v>
      </c>
      <c r="AM83" s="346">
        <v>0.125</v>
      </c>
      <c r="AN83" s="334" t="s">
        <v>117</v>
      </c>
      <c r="AO83" s="117"/>
      <c r="AP83" s="15"/>
    </row>
    <row r="84" spans="1:42">
      <c r="A84" s="137">
        <v>84</v>
      </c>
      <c r="B84" s="74"/>
      <c r="C84" s="74"/>
      <c r="D84" s="74"/>
      <c r="E84" s="74"/>
      <c r="F84" s="74"/>
      <c r="G84" s="74"/>
      <c r="H84" s="74"/>
      <c r="I84" s="74"/>
      <c r="J84" s="94"/>
      <c r="K84" s="96"/>
      <c r="L84" s="96">
        <f t="shared" si="38"/>
        <v>82.933610608038137</v>
      </c>
      <c r="M84" s="96"/>
      <c r="N84" s="96"/>
      <c r="O84" s="74"/>
      <c r="P84" s="100">
        <v>160000</v>
      </c>
      <c r="Q84" s="92">
        <f t="shared" si="32"/>
        <v>82.933610608038137</v>
      </c>
      <c r="U84" s="144">
        <f t="shared" si="34"/>
        <v>160000</v>
      </c>
      <c r="V84" s="146">
        <v>82.933610608038137</v>
      </c>
      <c r="W84" s="133">
        <f t="shared" si="39"/>
        <v>160000</v>
      </c>
      <c r="X84" s="141">
        <v>82.933610608038137</v>
      </c>
      <c r="Y84" s="147">
        <f>160000*1.01</f>
        <v>161600</v>
      </c>
      <c r="Z84" s="139">
        <f t="shared" si="41"/>
        <v>83.762946714118513</v>
      </c>
      <c r="AA84" s="150">
        <f t="shared" si="40"/>
        <v>163216</v>
      </c>
      <c r="AB84" s="149">
        <f t="shared" si="36"/>
        <v>84.598953708901348</v>
      </c>
      <c r="AC84" s="248"/>
      <c r="AD84" s="244"/>
      <c r="AE84" s="255"/>
      <c r="AG84" s="295"/>
      <c r="AH84" s="345"/>
      <c r="AI84" s="15"/>
      <c r="AJ84" s="273"/>
      <c r="AK84" s="273"/>
      <c r="AL84" s="340"/>
      <c r="AM84" s="347"/>
      <c r="AN84" s="335"/>
      <c r="AO84" s="117"/>
      <c r="AP84" s="15"/>
    </row>
    <row r="85" spans="1:42">
      <c r="A85" s="137">
        <v>85</v>
      </c>
      <c r="B85" s="74"/>
      <c r="C85" s="74"/>
      <c r="D85" s="74"/>
      <c r="E85" s="74"/>
      <c r="F85" s="74"/>
      <c r="G85" s="74"/>
      <c r="H85" s="74"/>
      <c r="I85" s="74"/>
      <c r="J85" s="94"/>
      <c r="K85" s="96"/>
      <c r="L85" s="96">
        <f t="shared" si="38"/>
        <v>85.525285939539316</v>
      </c>
      <c r="M85" s="96"/>
      <c r="N85" s="96"/>
      <c r="O85" s="74"/>
      <c r="P85" s="100">
        <v>165000</v>
      </c>
      <c r="Q85" s="92">
        <f t="shared" si="32"/>
        <v>85.525285939539316</v>
      </c>
      <c r="U85" s="144">
        <f t="shared" si="34"/>
        <v>165000</v>
      </c>
      <c r="V85" s="146">
        <v>85.525285939539316</v>
      </c>
      <c r="W85" s="133">
        <f t="shared" si="39"/>
        <v>165000</v>
      </c>
      <c r="X85" s="141">
        <v>85.525285939539316</v>
      </c>
      <c r="Y85" s="147">
        <f>165000*1.01</f>
        <v>166650</v>
      </c>
      <c r="Z85" s="139">
        <f t="shared" si="41"/>
        <v>86.380538798934722</v>
      </c>
      <c r="AA85" s="150">
        <f t="shared" si="40"/>
        <v>168316.5</v>
      </c>
      <c r="AB85" s="149">
        <f t="shared" si="36"/>
        <v>87.242671012304513</v>
      </c>
      <c r="AC85" s="248"/>
      <c r="AD85" s="244"/>
      <c r="AE85" s="255"/>
      <c r="AG85" s="275">
        <v>0.45</v>
      </c>
      <c r="AH85" s="345"/>
      <c r="AI85" s="15"/>
      <c r="AJ85" s="273"/>
      <c r="AK85" s="273"/>
      <c r="AL85" s="340"/>
      <c r="AM85" s="347"/>
      <c r="AN85" s="335"/>
      <c r="AO85" s="117"/>
      <c r="AP85" s="15"/>
    </row>
    <row r="86" spans="1:42" ht="17.45" customHeight="1">
      <c r="A86" s="137">
        <v>86</v>
      </c>
      <c r="B86" s="74"/>
      <c r="C86" s="74"/>
      <c r="D86" s="74"/>
      <c r="E86" s="74"/>
      <c r="F86" s="74"/>
      <c r="G86" s="74"/>
      <c r="H86" s="74"/>
      <c r="I86" s="74"/>
      <c r="J86" s="94"/>
      <c r="K86" s="96"/>
      <c r="L86" s="96">
        <f t="shared" si="38"/>
        <v>88.116961271040509</v>
      </c>
      <c r="M86" s="96"/>
      <c r="N86" s="96"/>
      <c r="O86" s="74"/>
      <c r="P86" s="100">
        <v>170000</v>
      </c>
      <c r="Q86" s="92">
        <f t="shared" si="32"/>
        <v>88.116961271040509</v>
      </c>
      <c r="U86" s="144">
        <f t="shared" si="34"/>
        <v>170000</v>
      </c>
      <c r="V86" s="146">
        <v>88.116961271040509</v>
      </c>
      <c r="W86" s="133">
        <f t="shared" si="39"/>
        <v>170000</v>
      </c>
      <c r="X86" s="141">
        <v>88.116961271040509</v>
      </c>
      <c r="Y86" s="147">
        <f>170000*1.01</f>
        <v>171700</v>
      </c>
      <c r="Z86" s="139">
        <f t="shared" si="41"/>
        <v>88.998130883750918</v>
      </c>
      <c r="AA86" s="150">
        <f t="shared" si="40"/>
        <v>173417</v>
      </c>
      <c r="AB86" s="149">
        <f t="shared" si="36"/>
        <v>89.886388315707677</v>
      </c>
      <c r="AC86" s="247"/>
      <c r="AD86" s="243"/>
      <c r="AE86" s="256"/>
      <c r="AG86" s="276"/>
      <c r="AH86" s="345"/>
      <c r="AI86" s="15"/>
      <c r="AJ86" s="274"/>
      <c r="AK86" s="274"/>
      <c r="AL86" s="341"/>
      <c r="AM86" s="347"/>
      <c r="AN86" s="335"/>
      <c r="AO86" s="117"/>
      <c r="AP86" s="15"/>
    </row>
    <row r="87" spans="1:42">
      <c r="AI87" s="15"/>
    </row>
  </sheetData>
  <sheetProtection algorithmName="SHA-512" hashValue="5XtTwO2I/ag7REeOcmgfaoj5e71UWSf25Z56hgr9x/LSDI//YhONU4FsC8DpzTo3Sv8M1D+G07CrPIQi3a8Pyg==" saltValue="E5uxwiBM+RMI9YFar1xVJw==" spinCount="100000" sheet="1" objects="1" scenarios="1"/>
  <mergeCells count="102">
    <mergeCell ref="AH83:AH86"/>
    <mergeCell ref="AM75:AM82"/>
    <mergeCell ref="AM83:AM86"/>
    <mergeCell ref="AM40:AM49"/>
    <mergeCell ref="AM50:AM57"/>
    <mergeCell ref="AH6:AH50"/>
    <mergeCell ref="AG5:AG49"/>
    <mergeCell ref="AK6:AK23"/>
    <mergeCell ref="AI4:AI8"/>
    <mergeCell ref="AI9:AI14"/>
    <mergeCell ref="AI15:AI23"/>
    <mergeCell ref="AM6:AM23"/>
    <mergeCell ref="AI52:AI71"/>
    <mergeCell ref="AL6:AL23"/>
    <mergeCell ref="AL24:AL39"/>
    <mergeCell ref="AL40:AL50"/>
    <mergeCell ref="AL51:AL58"/>
    <mergeCell ref="AL59:AL70"/>
    <mergeCell ref="AL71:AL74"/>
    <mergeCell ref="AL75:AL82"/>
    <mergeCell ref="AN83:AN86"/>
    <mergeCell ref="AJ83:AJ86"/>
    <mergeCell ref="AN72:AN75"/>
    <mergeCell ref="AN76:AN79"/>
    <mergeCell ref="AJ71:AJ74"/>
    <mergeCell ref="AN50:AN53"/>
    <mergeCell ref="AL83:AL86"/>
    <mergeCell ref="AM24:AM39"/>
    <mergeCell ref="AM58:AM69"/>
    <mergeCell ref="AM70:AM74"/>
    <mergeCell ref="AO79:AO82"/>
    <mergeCell ref="AO65:AO71"/>
    <mergeCell ref="AO15:AO19"/>
    <mergeCell ref="AO5:AO7"/>
    <mergeCell ref="AN19:AN22"/>
    <mergeCell ref="AN31:AN34"/>
    <mergeCell ref="AN12:AN16"/>
    <mergeCell ref="AR3:AW3"/>
    <mergeCell ref="AE4:AE49"/>
    <mergeCell ref="AN7:AN9"/>
    <mergeCell ref="AR7:AR16"/>
    <mergeCell ref="AS7:AS22"/>
    <mergeCell ref="AJ24:AJ39"/>
    <mergeCell ref="AN25:AN28"/>
    <mergeCell ref="AS25:AS31"/>
    <mergeCell ref="AT25:AT34"/>
    <mergeCell ref="AO28:AO31"/>
    <mergeCell ref="AN37:AN40"/>
    <mergeCell ref="AV46:AW50"/>
    <mergeCell ref="AR47:AU50"/>
    <mergeCell ref="AU28:AU34"/>
    <mergeCell ref="AN3:AO3"/>
    <mergeCell ref="AV13:AW13"/>
    <mergeCell ref="AU15:AU19"/>
    <mergeCell ref="AV40:AW44"/>
    <mergeCell ref="AT12:AT22"/>
    <mergeCell ref="AO9:AO13"/>
    <mergeCell ref="AW31:AW37"/>
    <mergeCell ref="AO34:AO37"/>
    <mergeCell ref="AS36:AS39"/>
    <mergeCell ref="AR22:AR28"/>
    <mergeCell ref="AV28:AV37"/>
    <mergeCell ref="AR31:AR39"/>
    <mergeCell ref="AO22:AO25"/>
    <mergeCell ref="AR54:AU55"/>
    <mergeCell ref="AR66:AU70"/>
    <mergeCell ref="AR57:AU58"/>
    <mergeCell ref="AN43:AN46"/>
    <mergeCell ref="AR43:AU46"/>
    <mergeCell ref="AR64:AS64"/>
    <mergeCell ref="AR60:AU61"/>
    <mergeCell ref="AR63:AS63"/>
    <mergeCell ref="AR51:AU52"/>
    <mergeCell ref="AO54:AO58"/>
    <mergeCell ref="AO46:AO49"/>
    <mergeCell ref="AN59:AN64"/>
    <mergeCell ref="AO40:AO43"/>
    <mergeCell ref="AR40:AU42"/>
    <mergeCell ref="AE72:AE82"/>
    <mergeCell ref="AE83:AE86"/>
    <mergeCell ref="AK24:AK39"/>
    <mergeCell ref="AK40:AK50"/>
    <mergeCell ref="AK51:AK58"/>
    <mergeCell ref="AK59:AK70"/>
    <mergeCell ref="AK71:AK74"/>
    <mergeCell ref="AK75:AK82"/>
    <mergeCell ref="AK83:AK86"/>
    <mergeCell ref="AG85:AG86"/>
    <mergeCell ref="AE59:AE63"/>
    <mergeCell ref="AE65:AE71"/>
    <mergeCell ref="AE54:AE58"/>
    <mergeCell ref="AF79:AF82"/>
    <mergeCell ref="AE50:AE53"/>
    <mergeCell ref="AI72:AI75"/>
    <mergeCell ref="AJ75:AJ82"/>
    <mergeCell ref="AJ51:AJ58"/>
    <mergeCell ref="AJ59:AJ70"/>
    <mergeCell ref="AJ40:AJ50"/>
    <mergeCell ref="AI41:AI51"/>
    <mergeCell ref="AI24:AI40"/>
    <mergeCell ref="AG50:AG84"/>
    <mergeCell ref="AH51:AH82"/>
  </mergeCells>
  <phoneticPr fontId="2" type="noConversion"/>
  <printOptions gridLines="1"/>
  <pageMargins left="0.15748031496062992" right="0.15748031496062992" top="0.59055118110236227" bottom="0.59055118110236227" header="0.51181102362204722" footer="0.51181102362204722"/>
  <pageSetup paperSize="9" scale="66" orientation="portrait" r:id="rId1"/>
  <headerFooter alignWithMargins="0"/>
  <ignoredErrors>
    <ignoredError sqref="W11:W19 W34:W75 W20:W33"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pane xSplit="3" ySplit="1" topLeftCell="D5" activePane="bottomRight" state="frozen"/>
      <selection pane="topRight" activeCell="D1" sqref="D1"/>
      <selection pane="bottomLeft" activeCell="A2" sqref="A2"/>
      <selection pane="bottomRight" activeCell="F18" sqref="F18"/>
    </sheetView>
  </sheetViews>
  <sheetFormatPr defaultRowHeight="12.75"/>
  <cols>
    <col min="1" max="1" width="15.42578125" customWidth="1"/>
    <col min="4" max="4" width="20.28515625" customWidth="1"/>
    <col min="5" max="5" width="2.28515625" customWidth="1"/>
  </cols>
  <sheetData>
    <row r="1" spans="1:9" ht="51">
      <c r="A1" s="203" t="s">
        <v>182</v>
      </c>
      <c r="B1" s="204" t="s">
        <v>293</v>
      </c>
      <c r="C1" s="204" t="s">
        <v>292</v>
      </c>
    </row>
    <row r="2" spans="1:9" ht="25.5">
      <c r="A2" s="205" t="s">
        <v>183</v>
      </c>
      <c r="B2" s="209">
        <v>136.9</v>
      </c>
      <c r="C2" s="209">
        <v>3.7</v>
      </c>
      <c r="D2" s="206" t="s">
        <v>186</v>
      </c>
      <c r="F2" s="370" t="s">
        <v>185</v>
      </c>
      <c r="G2" s="370"/>
      <c r="H2" s="370"/>
      <c r="I2" s="370"/>
    </row>
    <row r="3" spans="1:9" ht="25.5">
      <c r="A3" s="205" t="s">
        <v>184</v>
      </c>
      <c r="B3" s="209">
        <v>173.48</v>
      </c>
      <c r="C3" s="209">
        <v>4.6900000000000004</v>
      </c>
      <c r="D3" s="206" t="s">
        <v>186</v>
      </c>
    </row>
    <row r="4" spans="1:9" ht="39" customHeight="1">
      <c r="A4" s="370" t="s">
        <v>187</v>
      </c>
      <c r="B4" s="370"/>
      <c r="C4" s="370"/>
      <c r="D4" s="370"/>
    </row>
    <row r="5" spans="1:9">
      <c r="A5" s="55"/>
      <c r="B5" s="55"/>
    </row>
    <row r="6" spans="1:9" ht="14.25">
      <c r="A6" s="202"/>
    </row>
    <row r="7" spans="1:9" ht="66" customHeight="1">
      <c r="A7" s="371" t="s">
        <v>294</v>
      </c>
      <c r="B7" s="372"/>
      <c r="C7" s="372"/>
      <c r="D7" s="373"/>
    </row>
    <row r="8" spans="1:9">
      <c r="A8" s="207" t="s">
        <v>295</v>
      </c>
      <c r="B8" s="1"/>
      <c r="C8" s="1"/>
      <c r="D8" s="208"/>
    </row>
    <row r="9" spans="1:9">
      <c r="A9" s="207" t="s">
        <v>296</v>
      </c>
      <c r="B9" s="1"/>
      <c r="C9" s="1"/>
      <c r="D9" s="208"/>
    </row>
    <row r="10" spans="1:9">
      <c r="A10" s="207" t="s">
        <v>297</v>
      </c>
      <c r="B10" s="1"/>
      <c r="C10" s="1"/>
      <c r="D10" s="208"/>
    </row>
    <row r="11" spans="1:9">
      <c r="A11" s="207" t="s">
        <v>298</v>
      </c>
      <c r="B11" s="1"/>
      <c r="C11" s="1"/>
      <c r="D11" s="208"/>
    </row>
    <row r="12" spans="1:9" ht="30" customHeight="1">
      <c r="A12" s="374" t="s">
        <v>299</v>
      </c>
      <c r="B12" s="375"/>
      <c r="C12" s="375"/>
      <c r="D12" s="376"/>
    </row>
  </sheetData>
  <mergeCells count="4">
    <mergeCell ref="F2:I2"/>
    <mergeCell ref="A4:D4"/>
    <mergeCell ref="A7:D7"/>
    <mergeCell ref="A12:D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7"/>
  <sheetViews>
    <sheetView zoomScaleNormal="100" workbookViewId="0"/>
  </sheetViews>
  <sheetFormatPr defaultRowHeight="12.75"/>
  <cols>
    <col min="1" max="1" width="7.28515625" style="214" customWidth="1"/>
    <col min="2" max="2" width="8.140625" style="214" customWidth="1"/>
    <col min="3" max="4" width="9.140625" style="214"/>
    <col min="5" max="5" width="9" style="214" customWidth="1"/>
    <col min="6" max="16384" width="9.140625" style="214"/>
  </cols>
  <sheetData>
    <row r="1" spans="1:6">
      <c r="A1" s="213" t="s">
        <v>284</v>
      </c>
      <c r="B1" s="213"/>
      <c r="C1" s="213"/>
      <c r="D1" s="213"/>
      <c r="E1" s="213"/>
      <c r="F1" s="213"/>
    </row>
    <row r="2" spans="1:6" s="213" customFormat="1" ht="11.25" customHeight="1"/>
    <row r="3" spans="1:6" s="213" customFormat="1" ht="11.25" customHeight="1">
      <c r="A3" s="213" t="s">
        <v>88</v>
      </c>
    </row>
    <row r="4" spans="1:6" s="213" customFormat="1" ht="11.25" customHeight="1"/>
    <row r="5" spans="1:6">
      <c r="A5" s="5" t="s">
        <v>43</v>
      </c>
      <c r="B5" s="5"/>
      <c r="C5" s="5"/>
      <c r="D5" s="5"/>
      <c r="E5" s="5"/>
      <c r="F5" s="5"/>
    </row>
    <row r="7" spans="1:6">
      <c r="A7" s="6" t="s">
        <v>35</v>
      </c>
      <c r="C7" s="215" t="s">
        <v>36</v>
      </c>
      <c r="D7" s="215" t="s">
        <v>36</v>
      </c>
      <c r="E7" s="7"/>
      <c r="F7" s="7"/>
    </row>
    <row r="8" spans="1:6">
      <c r="A8" s="8" t="s">
        <v>37</v>
      </c>
      <c r="C8" s="215" t="s">
        <v>132</v>
      </c>
      <c r="D8" s="215" t="s">
        <v>285</v>
      </c>
      <c r="E8" s="213"/>
      <c r="F8" s="213"/>
    </row>
    <row r="9" spans="1:6" ht="12.75" customHeight="1">
      <c r="A9" s="216">
        <v>1</v>
      </c>
      <c r="C9" s="217">
        <v>35377</v>
      </c>
      <c r="D9" s="217">
        <f>C9*1.01</f>
        <v>35730.769999999997</v>
      </c>
    </row>
    <row r="10" spans="1:6" ht="12.75" customHeight="1">
      <c r="A10" s="216">
        <v>2</v>
      </c>
      <c r="C10" s="217">
        <v>37173</v>
      </c>
      <c r="D10" s="217">
        <f t="shared" ref="D10:D73" si="0">C10*1.01</f>
        <v>37544.730000000003</v>
      </c>
      <c r="F10" s="377" t="s">
        <v>87</v>
      </c>
    </row>
    <row r="11" spans="1:6" s="219" customFormat="1">
      <c r="A11" s="218">
        <v>3</v>
      </c>
      <c r="C11" s="220">
        <v>38969</v>
      </c>
      <c r="D11" s="217">
        <f t="shared" si="0"/>
        <v>39358.69</v>
      </c>
      <c r="F11" s="378"/>
    </row>
    <row r="12" spans="1:6">
      <c r="A12" s="216">
        <v>4</v>
      </c>
      <c r="C12" s="217">
        <v>40764</v>
      </c>
      <c r="D12" s="217">
        <f t="shared" si="0"/>
        <v>41171.64</v>
      </c>
      <c r="F12" s="378"/>
    </row>
    <row r="13" spans="1:6">
      <c r="A13" s="216">
        <v>5</v>
      </c>
      <c r="C13" s="217">
        <v>42558</v>
      </c>
      <c r="D13" s="217">
        <f t="shared" si="0"/>
        <v>42983.58</v>
      </c>
      <c r="F13" s="378"/>
    </row>
    <row r="14" spans="1:6">
      <c r="A14" s="216">
        <v>6</v>
      </c>
      <c r="C14" s="217">
        <v>44353</v>
      </c>
      <c r="D14" s="217">
        <f t="shared" si="0"/>
        <v>44796.53</v>
      </c>
      <c r="F14" s="378"/>
    </row>
    <row r="15" spans="1:6">
      <c r="A15" s="216">
        <v>7</v>
      </c>
      <c r="C15" s="217">
        <v>46044</v>
      </c>
      <c r="D15" s="217">
        <f t="shared" si="0"/>
        <v>46504.44</v>
      </c>
      <c r="F15" s="378"/>
    </row>
    <row r="16" spans="1:6">
      <c r="A16" s="221">
        <v>8</v>
      </c>
      <c r="C16" s="217">
        <v>47734</v>
      </c>
      <c r="D16" s="217">
        <f t="shared" si="0"/>
        <v>48211.340000000004</v>
      </c>
      <c r="F16" s="378"/>
    </row>
    <row r="17" spans="1:7">
      <c r="A17" s="216">
        <v>9</v>
      </c>
      <c r="C17" s="217">
        <v>49317</v>
      </c>
      <c r="D17" s="217">
        <f t="shared" si="0"/>
        <v>49810.17</v>
      </c>
      <c r="E17" s="214" t="s">
        <v>38</v>
      </c>
      <c r="F17" s="378"/>
    </row>
    <row r="18" spans="1:7">
      <c r="A18" s="216">
        <v>10</v>
      </c>
      <c r="C18" s="217">
        <v>50902</v>
      </c>
      <c r="D18" s="217">
        <f t="shared" si="0"/>
        <v>51411.020000000004</v>
      </c>
      <c r="E18" s="214" t="s">
        <v>38</v>
      </c>
      <c r="F18" s="379"/>
    </row>
    <row r="19" spans="1:7">
      <c r="A19" s="216">
        <v>11</v>
      </c>
      <c r="C19" s="217">
        <v>52380</v>
      </c>
      <c r="D19" s="217">
        <f t="shared" si="0"/>
        <v>52903.8</v>
      </c>
      <c r="E19" s="214" t="s">
        <v>38</v>
      </c>
    </row>
    <row r="20" spans="1:7" ht="12" customHeight="1">
      <c r="C20" s="222"/>
      <c r="D20" s="217"/>
      <c r="G20" s="222"/>
    </row>
    <row r="21" spans="1:7">
      <c r="A21" s="87" t="s">
        <v>44</v>
      </c>
      <c r="B21" s="87" t="s">
        <v>79</v>
      </c>
      <c r="C21" s="222"/>
      <c r="D21" s="217"/>
      <c r="G21" s="222"/>
    </row>
    <row r="22" spans="1:7">
      <c r="A22" s="87"/>
      <c r="B22" s="87" t="s">
        <v>80</v>
      </c>
      <c r="C22" s="222"/>
      <c r="D22" s="217"/>
      <c r="G22" s="222"/>
    </row>
    <row r="23" spans="1:7">
      <c r="A23" s="87" t="s">
        <v>38</v>
      </c>
      <c r="B23" s="88" t="s">
        <v>81</v>
      </c>
      <c r="C23" s="222"/>
      <c r="D23" s="217"/>
      <c r="G23" s="222"/>
    </row>
    <row r="24" spans="1:7">
      <c r="A24" s="87"/>
      <c r="B24" s="87"/>
      <c r="C24" s="222"/>
      <c r="D24" s="217"/>
      <c r="G24" s="222"/>
    </row>
    <row r="25" spans="1:7">
      <c r="A25" s="5" t="s">
        <v>82</v>
      </c>
      <c r="B25" s="5"/>
      <c r="C25" s="5"/>
      <c r="D25" s="217"/>
      <c r="E25" s="5"/>
      <c r="F25" s="5"/>
      <c r="G25" s="87"/>
    </row>
    <row r="26" spans="1:7">
      <c r="D26" s="217"/>
      <c r="G26" s="87"/>
    </row>
    <row r="27" spans="1:7">
      <c r="A27" s="6" t="s">
        <v>35</v>
      </c>
      <c r="C27" s="215" t="s">
        <v>36</v>
      </c>
      <c r="D27" s="215" t="s">
        <v>36</v>
      </c>
    </row>
    <row r="28" spans="1:7">
      <c r="A28" s="8" t="s">
        <v>37</v>
      </c>
      <c r="C28" s="215" t="s">
        <v>132</v>
      </c>
      <c r="D28" s="215" t="s">
        <v>285</v>
      </c>
    </row>
    <row r="29" spans="1:7" ht="12.75" customHeight="1">
      <c r="A29" s="216">
        <v>1</v>
      </c>
      <c r="C29" s="217">
        <v>44353</v>
      </c>
      <c r="D29" s="217">
        <f t="shared" si="0"/>
        <v>44796.53</v>
      </c>
      <c r="G29" s="223"/>
    </row>
    <row r="30" spans="1:7" ht="12.75" customHeight="1">
      <c r="A30" s="216">
        <v>2</v>
      </c>
      <c r="C30" s="217">
        <v>46044</v>
      </c>
      <c r="D30" s="217">
        <f t="shared" si="0"/>
        <v>46504.44</v>
      </c>
      <c r="G30" s="223"/>
    </row>
    <row r="31" spans="1:7">
      <c r="A31" s="216">
        <v>3</v>
      </c>
      <c r="C31" s="217">
        <v>47734</v>
      </c>
      <c r="D31" s="217">
        <f t="shared" si="0"/>
        <v>48211.340000000004</v>
      </c>
      <c r="E31" s="214" t="s">
        <v>38</v>
      </c>
      <c r="F31" s="380" t="s">
        <v>133</v>
      </c>
      <c r="G31" s="223"/>
    </row>
    <row r="32" spans="1:7" ht="12.75" customHeight="1">
      <c r="A32" s="216">
        <v>4</v>
      </c>
      <c r="C32" s="217">
        <v>49317</v>
      </c>
      <c r="D32" s="217">
        <f t="shared" si="0"/>
        <v>49810.17</v>
      </c>
      <c r="F32" s="380"/>
      <c r="G32" s="223"/>
    </row>
    <row r="33" spans="1:7">
      <c r="A33" s="216">
        <v>5</v>
      </c>
      <c r="C33" s="217">
        <v>50902</v>
      </c>
      <c r="D33" s="217">
        <f t="shared" si="0"/>
        <v>51411.020000000004</v>
      </c>
      <c r="F33" s="380"/>
      <c r="G33" s="381" t="s">
        <v>134</v>
      </c>
    </row>
    <row r="34" spans="1:7" ht="12.75" customHeight="1">
      <c r="A34" s="216">
        <v>6</v>
      </c>
      <c r="C34" s="217">
        <v>52380</v>
      </c>
      <c r="D34" s="217">
        <f t="shared" si="0"/>
        <v>52903.8</v>
      </c>
      <c r="E34" s="87"/>
      <c r="F34" s="380"/>
      <c r="G34" s="382"/>
    </row>
    <row r="35" spans="1:7">
      <c r="A35" s="216">
        <v>7</v>
      </c>
      <c r="C35" s="217">
        <v>52987</v>
      </c>
      <c r="D35" s="217">
        <f t="shared" si="0"/>
        <v>53516.87</v>
      </c>
      <c r="F35" s="380"/>
      <c r="G35" s="382"/>
    </row>
    <row r="36" spans="1:7">
      <c r="A36" s="216">
        <v>8</v>
      </c>
      <c r="C36" s="217">
        <v>54120</v>
      </c>
      <c r="D36" s="217">
        <f t="shared" si="0"/>
        <v>54661.2</v>
      </c>
      <c r="F36" s="380"/>
      <c r="G36" s="382"/>
    </row>
    <row r="37" spans="1:7" ht="12.75" customHeight="1">
      <c r="A37" s="216">
        <v>9</v>
      </c>
      <c r="C37" s="217">
        <v>55243</v>
      </c>
      <c r="D37" s="217">
        <f t="shared" si="0"/>
        <v>55795.43</v>
      </c>
      <c r="F37" s="380"/>
      <c r="G37" s="382"/>
    </row>
    <row r="38" spans="1:7">
      <c r="A38" s="216">
        <v>10</v>
      </c>
      <c r="C38" s="217">
        <v>56386</v>
      </c>
      <c r="D38" s="217">
        <f t="shared" si="0"/>
        <v>56949.86</v>
      </c>
      <c r="G38" s="382"/>
    </row>
    <row r="39" spans="1:7">
      <c r="A39" s="216">
        <v>11</v>
      </c>
      <c r="C39" s="217">
        <v>57506</v>
      </c>
      <c r="D39" s="217">
        <f t="shared" si="0"/>
        <v>58081.06</v>
      </c>
      <c r="G39" s="383"/>
    </row>
    <row r="40" spans="1:7">
      <c r="A40" s="216">
        <v>12</v>
      </c>
      <c r="C40" s="217">
        <v>58649</v>
      </c>
      <c r="D40" s="217">
        <f t="shared" si="0"/>
        <v>59235.49</v>
      </c>
      <c r="G40" s="224"/>
    </row>
    <row r="41" spans="1:7">
      <c r="A41" s="221">
        <v>13</v>
      </c>
      <c r="C41" s="217">
        <v>59811</v>
      </c>
      <c r="D41" s="217">
        <f t="shared" si="0"/>
        <v>60409.11</v>
      </c>
    </row>
    <row r="42" spans="1:7">
      <c r="A42" s="216">
        <v>14</v>
      </c>
      <c r="C42" s="217">
        <v>60933</v>
      </c>
      <c r="D42" s="217">
        <f t="shared" si="0"/>
        <v>61542.33</v>
      </c>
      <c r="E42" s="214" t="s">
        <v>39</v>
      </c>
    </row>
    <row r="43" spans="1:7">
      <c r="A43" s="216">
        <v>15</v>
      </c>
      <c r="C43" s="217">
        <v>62110</v>
      </c>
      <c r="D43" s="217">
        <f t="shared" si="0"/>
        <v>62731.1</v>
      </c>
      <c r="E43" s="214" t="s">
        <v>39</v>
      </c>
    </row>
    <row r="44" spans="1:7">
      <c r="A44" s="216">
        <v>16</v>
      </c>
      <c r="C44" s="217">
        <v>63275</v>
      </c>
      <c r="D44" s="217">
        <f t="shared" si="0"/>
        <v>63907.75</v>
      </c>
      <c r="E44" s="214" t="s">
        <v>39</v>
      </c>
    </row>
    <row r="45" spans="1:7">
      <c r="A45" s="216">
        <v>17</v>
      </c>
      <c r="C45" s="217">
        <v>64448</v>
      </c>
      <c r="D45" s="217">
        <f t="shared" si="0"/>
        <v>65092.480000000003</v>
      </c>
      <c r="E45" s="214" t="s">
        <v>39</v>
      </c>
    </row>
    <row r="46" spans="1:7">
      <c r="A46" s="216">
        <v>18</v>
      </c>
      <c r="C46" s="217">
        <v>65620</v>
      </c>
      <c r="D46" s="217">
        <f t="shared" si="0"/>
        <v>66276.2</v>
      </c>
      <c r="E46" s="214" t="s">
        <v>39</v>
      </c>
    </row>
    <row r="47" spans="1:7">
      <c r="A47" s="213"/>
      <c r="B47" s="213"/>
      <c r="C47" s="213"/>
      <c r="D47" s="217"/>
      <c r="E47" s="213"/>
      <c r="F47" s="213"/>
    </row>
    <row r="48" spans="1:7">
      <c r="A48" s="87" t="s">
        <v>44</v>
      </c>
      <c r="B48" s="87" t="s">
        <v>83</v>
      </c>
      <c r="C48" s="213"/>
      <c r="D48" s="217"/>
      <c r="E48" s="213"/>
      <c r="F48" s="213"/>
    </row>
    <row r="49" spans="1:8" ht="12.75" customHeight="1">
      <c r="A49" s="87"/>
      <c r="B49" s="87" t="s">
        <v>80</v>
      </c>
      <c r="C49" s="213"/>
      <c r="D49" s="217"/>
      <c r="E49" s="213"/>
      <c r="F49" s="213"/>
    </row>
    <row r="50" spans="1:8" ht="15" customHeight="1">
      <c r="A50" s="87" t="s">
        <v>38</v>
      </c>
      <c r="B50" s="87" t="s">
        <v>84</v>
      </c>
      <c r="C50" s="213"/>
      <c r="D50" s="217"/>
      <c r="E50" s="213"/>
      <c r="F50" s="213"/>
    </row>
    <row r="51" spans="1:8">
      <c r="A51" s="87"/>
      <c r="B51" s="87" t="s">
        <v>85</v>
      </c>
      <c r="C51" s="213"/>
      <c r="D51" s="217"/>
      <c r="E51" s="213"/>
      <c r="F51" s="213"/>
    </row>
    <row r="52" spans="1:8">
      <c r="A52" s="87" t="s">
        <v>39</v>
      </c>
      <c r="B52" s="88" t="s">
        <v>86</v>
      </c>
      <c r="C52" s="213"/>
      <c r="D52" s="217"/>
      <c r="E52" s="213"/>
      <c r="F52" s="213"/>
    </row>
    <row r="53" spans="1:8">
      <c r="B53" s="214" t="s">
        <v>41</v>
      </c>
      <c r="D53" s="217"/>
    </row>
    <row r="54" spans="1:8">
      <c r="D54" s="217"/>
    </row>
    <row r="55" spans="1:8">
      <c r="A55" s="10" t="s">
        <v>45</v>
      </c>
      <c r="B55" s="11"/>
      <c r="C55" s="11"/>
      <c r="D55" s="217"/>
      <c r="E55" s="11"/>
      <c r="F55" s="11"/>
      <c r="G55" s="87"/>
      <c r="H55" s="89"/>
    </row>
    <row r="56" spans="1:8">
      <c r="D56" s="217"/>
      <c r="G56" s="88"/>
      <c r="H56" s="89"/>
    </row>
    <row r="57" spans="1:8">
      <c r="A57" s="6" t="s">
        <v>35</v>
      </c>
      <c r="C57" s="215" t="s">
        <v>36</v>
      </c>
      <c r="D57" s="215" t="s">
        <v>36</v>
      </c>
      <c r="G57" s="215"/>
    </row>
    <row r="58" spans="1:8">
      <c r="A58" s="8" t="s">
        <v>37</v>
      </c>
      <c r="C58" s="213" t="s">
        <v>132</v>
      </c>
      <c r="D58" s="213" t="s">
        <v>285</v>
      </c>
      <c r="G58" s="215"/>
    </row>
    <row r="59" spans="1:8">
      <c r="A59" s="90">
        <v>1</v>
      </c>
      <c r="B59" s="225"/>
      <c r="C59" s="214">
        <v>22728</v>
      </c>
      <c r="D59" s="217">
        <f t="shared" si="0"/>
        <v>22955.279999999999</v>
      </c>
      <c r="E59" s="11"/>
      <c r="F59" s="11"/>
      <c r="G59" s="54"/>
    </row>
    <row r="60" spans="1:8">
      <c r="A60" s="90">
        <v>2</v>
      </c>
      <c r="B60" s="225"/>
      <c r="C60" s="214">
        <v>24393</v>
      </c>
      <c r="D60" s="217">
        <f t="shared" si="0"/>
        <v>24636.93</v>
      </c>
      <c r="G60" s="54"/>
    </row>
    <row r="61" spans="1:8">
      <c r="A61" s="90">
        <v>3</v>
      </c>
      <c r="B61" s="225"/>
      <c r="C61" s="214">
        <v>26054</v>
      </c>
      <c r="D61" s="217">
        <f t="shared" si="0"/>
        <v>26314.54</v>
      </c>
      <c r="G61" s="54"/>
    </row>
    <row r="62" spans="1:8">
      <c r="A62" s="90">
        <v>4</v>
      </c>
      <c r="B62" s="225"/>
      <c r="C62" s="214">
        <v>27718</v>
      </c>
      <c r="D62" s="217">
        <f t="shared" si="0"/>
        <v>27995.18</v>
      </c>
      <c r="G62" s="54"/>
    </row>
    <row r="63" spans="1:8">
      <c r="A63" s="90">
        <v>5</v>
      </c>
      <c r="B63" s="225"/>
      <c r="C63" s="214">
        <v>29381</v>
      </c>
      <c r="D63" s="217">
        <f t="shared" si="0"/>
        <v>29674.81</v>
      </c>
      <c r="G63" s="54"/>
    </row>
    <row r="64" spans="1:8">
      <c r="A64" s="90">
        <v>6</v>
      </c>
      <c r="B64" s="225"/>
      <c r="C64" s="214">
        <v>31044</v>
      </c>
      <c r="D64" s="217">
        <f t="shared" si="0"/>
        <v>31354.44</v>
      </c>
      <c r="G64" s="54"/>
    </row>
    <row r="65" spans="1:7">
      <c r="A65" s="87"/>
      <c r="C65" s="87"/>
      <c r="D65" s="217"/>
    </row>
    <row r="66" spans="1:7">
      <c r="D66" s="217"/>
    </row>
    <row r="67" spans="1:7">
      <c r="A67" s="10" t="s">
        <v>46</v>
      </c>
      <c r="B67" s="87"/>
      <c r="C67" s="87"/>
      <c r="D67" s="217"/>
    </row>
    <row r="68" spans="1:7">
      <c r="D68" s="217"/>
    </row>
    <row r="69" spans="1:7">
      <c r="A69" s="6" t="s">
        <v>35</v>
      </c>
      <c r="C69" s="215" t="s">
        <v>36</v>
      </c>
      <c r="D69" s="215" t="s">
        <v>36</v>
      </c>
      <c r="G69" s="215"/>
    </row>
    <row r="70" spans="1:7">
      <c r="A70" s="8" t="s">
        <v>37</v>
      </c>
      <c r="C70" s="213" t="s">
        <v>132</v>
      </c>
      <c r="D70" s="213" t="s">
        <v>285</v>
      </c>
      <c r="G70" s="215"/>
    </row>
    <row r="71" spans="1:7">
      <c r="A71" s="216">
        <v>1</v>
      </c>
      <c r="B71" s="225"/>
      <c r="C71" s="214">
        <v>27939</v>
      </c>
      <c r="D71" s="217">
        <f t="shared" si="0"/>
        <v>28218.39</v>
      </c>
      <c r="E71" s="87"/>
      <c r="F71" s="87"/>
      <c r="G71" s="54"/>
    </row>
    <row r="72" spans="1:7">
      <c r="A72" s="216">
        <v>2</v>
      </c>
      <c r="B72" s="225"/>
      <c r="C72" s="214">
        <v>29080</v>
      </c>
      <c r="D72" s="217">
        <f t="shared" si="0"/>
        <v>29370.799999999999</v>
      </c>
      <c r="G72" s="54"/>
    </row>
    <row r="73" spans="1:7">
      <c r="A73" s="216">
        <v>3</v>
      </c>
      <c r="B73" s="225"/>
      <c r="C73" s="214">
        <v>30221</v>
      </c>
      <c r="D73" s="217">
        <f t="shared" si="0"/>
        <v>30523.21</v>
      </c>
      <c r="G73" s="54"/>
    </row>
    <row r="74" spans="1:7">
      <c r="A74" s="216">
        <v>4</v>
      </c>
      <c r="B74" s="225"/>
      <c r="C74" s="214">
        <v>31355</v>
      </c>
      <c r="D74" s="217">
        <f t="shared" ref="D74" si="1">C74*1.01</f>
        <v>31668.55</v>
      </c>
      <c r="G74" s="54"/>
    </row>
    <row r="75" spans="1:7">
      <c r="E75" s="87"/>
      <c r="F75" s="87"/>
    </row>
    <row r="77" spans="1:7" s="213" customFormat="1"/>
    <row r="78" spans="1:7" s="213" customFormat="1"/>
    <row r="79" spans="1:7" s="213" customFormat="1"/>
    <row r="80" spans="1:7" s="213" customFormat="1"/>
    <row r="81" spans="1:6" s="213" customFormat="1"/>
    <row r="83" spans="1:6">
      <c r="A83" s="5"/>
      <c r="B83" s="5"/>
      <c r="C83" s="5"/>
      <c r="D83" s="5"/>
      <c r="E83" s="5"/>
      <c r="F83" s="5"/>
    </row>
    <row r="85" spans="1:6">
      <c r="A85" s="13"/>
      <c r="E85" s="12"/>
      <c r="F85" s="12"/>
    </row>
    <row r="86" spans="1:6">
      <c r="A86" s="14"/>
      <c r="E86" s="12"/>
      <c r="F86" s="12"/>
    </row>
    <row r="87" spans="1:6">
      <c r="A87" s="87"/>
      <c r="C87" s="226"/>
      <c r="D87" s="226"/>
      <c r="E87" s="89"/>
      <c r="F87" s="89"/>
    </row>
    <row r="88" spans="1:6">
      <c r="A88" s="87"/>
      <c r="C88" s="226"/>
      <c r="D88" s="226"/>
      <c r="E88" s="89"/>
      <c r="F88" s="89"/>
    </row>
    <row r="89" spans="1:6">
      <c r="A89" s="87"/>
      <c r="C89" s="226"/>
      <c r="D89" s="226"/>
      <c r="E89" s="89"/>
      <c r="F89" s="89"/>
    </row>
    <row r="90" spans="1:6">
      <c r="A90" s="87"/>
      <c r="C90" s="226"/>
      <c r="D90" s="226"/>
      <c r="E90" s="89"/>
      <c r="F90" s="89"/>
    </row>
    <row r="91" spans="1:6">
      <c r="A91" s="87"/>
      <c r="C91" s="226"/>
      <c r="D91" s="226"/>
      <c r="E91" s="89"/>
      <c r="F91" s="89"/>
    </row>
    <row r="92" spans="1:6">
      <c r="A92" s="87"/>
      <c r="C92" s="226"/>
      <c r="D92" s="226"/>
      <c r="E92" s="89"/>
      <c r="F92" s="89"/>
    </row>
    <row r="93" spans="1:6">
      <c r="A93" s="87"/>
      <c r="C93" s="226"/>
      <c r="D93" s="226"/>
      <c r="E93" s="89"/>
      <c r="F93" s="89"/>
    </row>
    <row r="94" spans="1:6">
      <c r="A94" s="87"/>
      <c r="C94" s="226"/>
      <c r="D94" s="226"/>
      <c r="E94" s="89"/>
      <c r="F94" s="89"/>
    </row>
    <row r="95" spans="1:6">
      <c r="A95" s="87"/>
      <c r="C95" s="226"/>
      <c r="D95" s="226"/>
      <c r="E95" s="89"/>
      <c r="F95" s="89"/>
    </row>
    <row r="96" spans="1:6">
      <c r="A96" s="91"/>
      <c r="C96" s="226"/>
      <c r="D96" s="226"/>
      <c r="E96" s="89"/>
      <c r="F96" s="89"/>
    </row>
    <row r="97" spans="1:7">
      <c r="A97" s="91"/>
      <c r="C97" s="226"/>
      <c r="D97" s="226"/>
      <c r="E97" s="89"/>
      <c r="F97" s="89"/>
    </row>
    <row r="98" spans="1:7">
      <c r="A98" s="91"/>
      <c r="C98" s="226"/>
      <c r="D98" s="226"/>
      <c r="E98" s="89"/>
      <c r="F98" s="89"/>
    </row>
    <row r="99" spans="1:7">
      <c r="A99" s="91"/>
      <c r="C99" s="226"/>
      <c r="D99" s="226"/>
      <c r="E99" s="89"/>
      <c r="F99" s="89"/>
    </row>
    <row r="100" spans="1:7">
      <c r="A100" s="91"/>
      <c r="C100" s="226"/>
      <c r="D100" s="226"/>
      <c r="E100" s="89"/>
      <c r="F100" s="89"/>
    </row>
    <row r="101" spans="1:7">
      <c r="A101" s="91"/>
      <c r="C101" s="226"/>
      <c r="D101" s="226"/>
      <c r="E101" s="89"/>
      <c r="F101" s="89"/>
    </row>
    <row r="102" spans="1:7">
      <c r="A102" s="91"/>
      <c r="C102" s="226"/>
      <c r="D102" s="226"/>
      <c r="E102" s="89"/>
      <c r="F102" s="89"/>
    </row>
    <row r="103" spans="1:7">
      <c r="A103" s="91"/>
      <c r="C103" s="226"/>
      <c r="D103" s="226"/>
      <c r="E103" s="89"/>
      <c r="F103" s="89"/>
      <c r="G103" s="87"/>
    </row>
    <row r="104" spans="1:7">
      <c r="A104" s="91"/>
      <c r="G104" s="88"/>
    </row>
    <row r="105" spans="1:7">
      <c r="A105" s="227"/>
    </row>
    <row r="106" spans="1:7">
      <c r="A106" s="5"/>
      <c r="B106" s="5"/>
      <c r="C106" s="5"/>
      <c r="D106" s="5"/>
      <c r="E106" s="5"/>
      <c r="F106" s="5"/>
      <c r="G106" s="87"/>
    </row>
    <row r="107" spans="1:7">
      <c r="A107" s="5"/>
      <c r="B107" s="10"/>
      <c r="C107" s="10"/>
      <c r="D107" s="10"/>
      <c r="E107" s="10"/>
      <c r="F107" s="10"/>
    </row>
    <row r="108" spans="1:7">
      <c r="A108" s="227"/>
    </row>
    <row r="109" spans="1:7">
      <c r="A109" s="14"/>
      <c r="E109" s="12"/>
      <c r="F109" s="12"/>
    </row>
    <row r="110" spans="1:7">
      <c r="A110" s="14"/>
      <c r="E110" s="12"/>
      <c r="F110" s="12"/>
    </row>
    <row r="111" spans="1:7">
      <c r="A111" s="91"/>
      <c r="E111" s="89"/>
      <c r="F111" s="89"/>
    </row>
    <row r="112" spans="1:7">
      <c r="A112" s="87"/>
      <c r="E112" s="89"/>
      <c r="F112" s="89"/>
    </row>
    <row r="113" spans="1:6">
      <c r="A113" s="87"/>
      <c r="E113" s="89"/>
      <c r="F113" s="89"/>
    </row>
    <row r="114" spans="1:6">
      <c r="A114" s="87"/>
      <c r="E114" s="89"/>
      <c r="F114" s="89"/>
    </row>
    <row r="115" spans="1:6">
      <c r="A115" s="87"/>
      <c r="E115" s="89"/>
      <c r="F115" s="89"/>
    </row>
    <row r="116" spans="1:6">
      <c r="A116" s="87"/>
      <c r="E116" s="89"/>
      <c r="F116" s="89"/>
    </row>
    <row r="117" spans="1:6">
      <c r="A117" s="87"/>
      <c r="E117" s="89"/>
      <c r="F117" s="89"/>
    </row>
    <row r="118" spans="1:6">
      <c r="A118" s="87"/>
      <c r="E118" s="89"/>
      <c r="F118" s="89"/>
    </row>
    <row r="119" spans="1:6">
      <c r="A119" s="87"/>
      <c r="E119" s="89"/>
      <c r="F119" s="89"/>
    </row>
    <row r="120" spans="1:6">
      <c r="A120" s="87"/>
      <c r="E120" s="89"/>
      <c r="F120" s="89"/>
    </row>
    <row r="121" spans="1:6">
      <c r="A121" s="87"/>
      <c r="E121" s="89"/>
      <c r="F121" s="89"/>
    </row>
    <row r="122" spans="1:6">
      <c r="A122" s="87"/>
      <c r="E122" s="89"/>
      <c r="F122" s="89"/>
    </row>
    <row r="123" spans="1:6">
      <c r="A123" s="87"/>
      <c r="E123" s="89"/>
      <c r="F123" s="89"/>
    </row>
    <row r="124" spans="1:6">
      <c r="A124" s="87"/>
      <c r="E124" s="89"/>
      <c r="F124" s="89"/>
    </row>
    <row r="125" spans="1:6">
      <c r="A125" s="91"/>
      <c r="E125" s="89"/>
      <c r="F125" s="89"/>
    </row>
    <row r="126" spans="1:6">
      <c r="A126" s="87"/>
      <c r="E126" s="89"/>
      <c r="F126" s="89"/>
    </row>
    <row r="127" spans="1:6">
      <c r="A127" s="87"/>
      <c r="E127" s="89"/>
      <c r="F127" s="89"/>
    </row>
    <row r="128" spans="1:6">
      <c r="A128" s="87"/>
      <c r="E128" s="89"/>
      <c r="F128" s="89"/>
    </row>
    <row r="129" spans="1:8">
      <c r="A129" s="87"/>
      <c r="E129" s="89"/>
      <c r="F129" s="89"/>
    </row>
    <row r="130" spans="1:8">
      <c r="A130" s="87"/>
      <c r="E130" s="89"/>
      <c r="F130" s="89"/>
    </row>
    <row r="131" spans="1:8">
      <c r="A131" s="9"/>
      <c r="E131" s="9"/>
      <c r="F131" s="9"/>
      <c r="G131" s="87"/>
    </row>
    <row r="132" spans="1:8">
      <c r="A132" s="87"/>
      <c r="B132" s="87"/>
      <c r="C132" s="87"/>
      <c r="D132" s="87"/>
      <c r="E132" s="87"/>
      <c r="F132" s="87"/>
    </row>
    <row r="133" spans="1:8">
      <c r="A133" s="87"/>
      <c r="B133" s="87"/>
      <c r="C133" s="87"/>
      <c r="D133" s="87"/>
      <c r="E133" s="87"/>
      <c r="F133" s="87"/>
    </row>
    <row r="134" spans="1:8">
      <c r="A134" s="87"/>
      <c r="B134" s="87"/>
      <c r="C134" s="87"/>
      <c r="D134" s="87"/>
      <c r="E134" s="87"/>
      <c r="F134" s="87"/>
    </row>
    <row r="135" spans="1:8">
      <c r="A135" s="87"/>
      <c r="B135" s="88"/>
      <c r="C135" s="88"/>
      <c r="D135" s="88"/>
      <c r="E135" s="88"/>
      <c r="F135" s="88"/>
    </row>
    <row r="136" spans="1:8">
      <c r="H136" s="89"/>
    </row>
    <row r="137" spans="1:8">
      <c r="H137" s="89"/>
    </row>
  </sheetData>
  <sheetProtection algorithmName="SHA-512" hashValue="AMwsiPJRiT0OGd9tNlATBTBhnfynMCHr2GBkijpmY6DIDNh3k+V5W5CbnidQlCR3UG3rZ820BTHhCh2atu70yw==" saltValue="npP2FftStg3OSXVTHKvyFQ==" spinCount="100000" sheet="1" objects="1" scenarios="1"/>
  <mergeCells count="3">
    <mergeCell ref="F10:F18"/>
    <mergeCell ref="F31:F37"/>
    <mergeCell ref="G33:G39"/>
  </mergeCells>
  <pageMargins left="0.75" right="0.75" top="1" bottom="1" header="0.5" footer="0.5"/>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Normal="100" workbookViewId="0"/>
  </sheetViews>
  <sheetFormatPr defaultRowHeight="12.75"/>
  <cols>
    <col min="1" max="1" width="9.140625" style="228"/>
    <col min="2" max="2" width="10.140625" style="228" bestFit="1" customWidth="1"/>
    <col min="3" max="3" width="10.140625" style="228" customWidth="1"/>
    <col min="4" max="16384" width="9.140625" style="228"/>
  </cols>
  <sheetData>
    <row r="1" spans="1:5">
      <c r="B1" s="213" t="s">
        <v>135</v>
      </c>
      <c r="C1" s="213"/>
      <c r="D1" s="229" t="s">
        <v>69</v>
      </c>
      <c r="E1" s="230"/>
    </row>
    <row r="2" spans="1:5">
      <c r="A2" s="213" t="s">
        <v>284</v>
      </c>
    </row>
    <row r="3" spans="1:5" ht="6.75" customHeight="1"/>
    <row r="4" spans="1:5">
      <c r="A4" s="231" t="s">
        <v>70</v>
      </c>
      <c r="B4" s="231"/>
      <c r="C4" s="231"/>
      <c r="D4" s="231"/>
    </row>
    <row r="5" spans="1:5">
      <c r="A5" s="232" t="s">
        <v>71</v>
      </c>
      <c r="B5" s="232"/>
      <c r="C5" s="232"/>
      <c r="D5" s="232"/>
    </row>
    <row r="6" spans="1:5" ht="8.25" customHeight="1">
      <c r="A6" s="232"/>
      <c r="B6" s="232"/>
      <c r="C6" s="232"/>
      <c r="D6" s="232"/>
    </row>
    <row r="7" spans="1:5">
      <c r="B7" s="213" t="s">
        <v>136</v>
      </c>
      <c r="C7" s="213" t="s">
        <v>136</v>
      </c>
      <c r="E7" s="215"/>
    </row>
    <row r="8" spans="1:5">
      <c r="B8" s="213" t="s">
        <v>132</v>
      </c>
      <c r="C8" s="213" t="s">
        <v>285</v>
      </c>
      <c r="E8" s="215"/>
    </row>
    <row r="9" spans="1:5">
      <c r="A9" s="233">
        <v>1</v>
      </c>
      <c r="B9" s="234">
        <v>33730</v>
      </c>
      <c r="C9" s="234">
        <f>B9*1.01</f>
        <v>34067.300000000003</v>
      </c>
      <c r="E9" s="234"/>
    </row>
    <row r="10" spans="1:5">
      <c r="A10" s="233">
        <v>2</v>
      </c>
      <c r="B10" s="234">
        <v>34938</v>
      </c>
      <c r="C10" s="234">
        <f t="shared" ref="C10:C58" si="0">B10*1.01</f>
        <v>35287.379999999997</v>
      </c>
      <c r="E10" s="234"/>
    </row>
    <row r="11" spans="1:5">
      <c r="A11" s="233">
        <v>3</v>
      </c>
      <c r="B11" s="234">
        <v>36078</v>
      </c>
      <c r="C11" s="234">
        <f t="shared" si="0"/>
        <v>36438.78</v>
      </c>
      <c r="E11" s="234"/>
    </row>
    <row r="12" spans="1:5">
      <c r="A12" s="233">
        <v>4</v>
      </c>
      <c r="B12" s="234">
        <v>37234</v>
      </c>
      <c r="C12" s="234">
        <f t="shared" si="0"/>
        <v>37606.340000000004</v>
      </c>
      <c r="E12" s="234"/>
    </row>
    <row r="13" spans="1:5" s="237" customFormat="1">
      <c r="A13" s="235">
        <v>5</v>
      </c>
      <c r="B13" s="236">
        <v>38383</v>
      </c>
      <c r="C13" s="234">
        <f t="shared" si="0"/>
        <v>38766.83</v>
      </c>
      <c r="E13" s="236"/>
    </row>
    <row r="14" spans="1:5">
      <c r="A14" s="233">
        <v>6</v>
      </c>
      <c r="B14" s="234">
        <v>39533</v>
      </c>
      <c r="C14" s="234">
        <f t="shared" si="0"/>
        <v>39928.33</v>
      </c>
      <c r="E14" s="234"/>
    </row>
    <row r="15" spans="1:5">
      <c r="A15" s="233">
        <v>7</v>
      </c>
      <c r="B15" s="234">
        <v>40741</v>
      </c>
      <c r="C15" s="234">
        <f t="shared" si="0"/>
        <v>41148.410000000003</v>
      </c>
      <c r="E15" s="234"/>
    </row>
    <row r="16" spans="1:5">
      <c r="A16" s="233">
        <v>8</v>
      </c>
      <c r="B16" s="234">
        <v>41902</v>
      </c>
      <c r="C16" s="234">
        <f t="shared" si="0"/>
        <v>42321.02</v>
      </c>
      <c r="D16" s="214" t="s">
        <v>38</v>
      </c>
      <c r="E16" s="234"/>
    </row>
    <row r="17" spans="1:5">
      <c r="A17" s="233">
        <v>9</v>
      </c>
      <c r="B17" s="234">
        <v>43256</v>
      </c>
      <c r="C17" s="234">
        <f t="shared" si="0"/>
        <v>43688.56</v>
      </c>
      <c r="E17" s="234"/>
    </row>
    <row r="18" spans="1:5">
      <c r="A18" s="233">
        <v>10</v>
      </c>
      <c r="B18" s="234">
        <v>44463</v>
      </c>
      <c r="C18" s="234">
        <f t="shared" si="0"/>
        <v>44907.63</v>
      </c>
      <c r="E18" s="234"/>
    </row>
    <row r="19" spans="1:5">
      <c r="A19" s="233">
        <v>11</v>
      </c>
      <c r="B19" s="234">
        <v>45655</v>
      </c>
      <c r="C19" s="234">
        <f t="shared" si="0"/>
        <v>46111.55</v>
      </c>
      <c r="E19" s="234"/>
    </row>
    <row r="20" spans="1:5">
      <c r="A20" s="233">
        <v>12</v>
      </c>
      <c r="B20" s="234">
        <v>46809</v>
      </c>
      <c r="C20" s="234">
        <f t="shared" si="0"/>
        <v>47277.090000000004</v>
      </c>
      <c r="E20" s="234"/>
    </row>
    <row r="21" spans="1:5">
      <c r="A21" s="233">
        <v>13</v>
      </c>
      <c r="B21" s="234">
        <v>48116</v>
      </c>
      <c r="C21" s="234">
        <f t="shared" si="0"/>
        <v>48597.16</v>
      </c>
      <c r="D21" s="214" t="s">
        <v>39</v>
      </c>
      <c r="E21" s="234"/>
    </row>
    <row r="22" spans="1:5">
      <c r="A22" s="233">
        <v>14</v>
      </c>
      <c r="B22" s="234">
        <v>49280</v>
      </c>
      <c r="C22" s="234">
        <f t="shared" si="0"/>
        <v>49772.800000000003</v>
      </c>
      <c r="E22" s="234"/>
    </row>
    <row r="23" spans="1:5">
      <c r="A23" s="233">
        <v>15</v>
      </c>
      <c r="B23" s="234">
        <v>50567</v>
      </c>
      <c r="C23" s="234">
        <f t="shared" si="0"/>
        <v>51072.67</v>
      </c>
      <c r="E23" s="234"/>
    </row>
    <row r="24" spans="1:5">
      <c r="A24" s="233">
        <v>16</v>
      </c>
      <c r="B24" s="234">
        <v>51731</v>
      </c>
      <c r="C24" s="234">
        <f t="shared" si="0"/>
        <v>52248.31</v>
      </c>
      <c r="E24" s="234"/>
    </row>
    <row r="25" spans="1:5">
      <c r="A25" s="233">
        <v>17</v>
      </c>
      <c r="B25" s="234">
        <v>52897</v>
      </c>
      <c r="C25" s="234">
        <f t="shared" si="0"/>
        <v>53425.97</v>
      </c>
      <c r="E25" s="234"/>
    </row>
    <row r="26" spans="1:5">
      <c r="A26" s="233">
        <v>18</v>
      </c>
      <c r="B26" s="234">
        <v>54042</v>
      </c>
      <c r="C26" s="234">
        <f t="shared" si="0"/>
        <v>54582.42</v>
      </c>
      <c r="E26" s="234"/>
    </row>
    <row r="27" spans="1:5">
      <c r="A27" s="233">
        <v>19</v>
      </c>
      <c r="B27" s="234">
        <v>55223</v>
      </c>
      <c r="C27" s="234">
        <f t="shared" si="0"/>
        <v>55775.23</v>
      </c>
      <c r="E27" s="234"/>
    </row>
    <row r="28" spans="1:5">
      <c r="A28" s="233">
        <v>20</v>
      </c>
      <c r="B28" s="234">
        <v>55833</v>
      </c>
      <c r="C28" s="234">
        <f t="shared" si="0"/>
        <v>56391.33</v>
      </c>
      <c r="D28" s="214" t="s">
        <v>40</v>
      </c>
      <c r="E28" s="234"/>
    </row>
    <row r="29" spans="1:5">
      <c r="A29" s="233">
        <v>21</v>
      </c>
      <c r="B29" s="234">
        <v>57005</v>
      </c>
      <c r="C29" s="234">
        <f t="shared" si="0"/>
        <v>57575.05</v>
      </c>
      <c r="E29" s="234"/>
    </row>
    <row r="30" spans="1:5">
      <c r="A30" s="233">
        <v>22</v>
      </c>
      <c r="B30" s="234">
        <v>58027</v>
      </c>
      <c r="C30" s="234">
        <f t="shared" si="0"/>
        <v>58607.270000000004</v>
      </c>
      <c r="E30" s="234"/>
    </row>
    <row r="31" spans="1:5">
      <c r="A31" s="233">
        <v>23</v>
      </c>
      <c r="B31" s="234">
        <v>59152</v>
      </c>
      <c r="C31" s="234">
        <f t="shared" si="0"/>
        <v>59743.520000000004</v>
      </c>
      <c r="E31" s="234"/>
    </row>
    <row r="32" spans="1:5">
      <c r="A32" s="233">
        <v>24</v>
      </c>
      <c r="B32" s="234">
        <v>60160</v>
      </c>
      <c r="C32" s="234">
        <f t="shared" si="0"/>
        <v>60761.599999999999</v>
      </c>
      <c r="E32" s="234"/>
    </row>
    <row r="33" spans="1:5">
      <c r="A33" s="233">
        <v>25</v>
      </c>
      <c r="B33" s="234">
        <v>61239</v>
      </c>
      <c r="C33" s="234">
        <f t="shared" si="0"/>
        <v>61851.39</v>
      </c>
      <c r="E33" s="234"/>
    </row>
    <row r="34" spans="1:5">
      <c r="A34" s="233">
        <v>26</v>
      </c>
      <c r="B34" s="234">
        <v>62291</v>
      </c>
      <c r="C34" s="234">
        <f t="shared" si="0"/>
        <v>62913.91</v>
      </c>
      <c r="E34" s="234"/>
    </row>
    <row r="35" spans="1:5">
      <c r="A35" s="233">
        <v>27</v>
      </c>
      <c r="B35" s="234">
        <v>63367</v>
      </c>
      <c r="C35" s="234">
        <f t="shared" si="0"/>
        <v>64000.67</v>
      </c>
      <c r="E35" s="234"/>
    </row>
    <row r="36" spans="1:5">
      <c r="A36" s="233">
        <v>28</v>
      </c>
      <c r="B36" s="234">
        <v>64457</v>
      </c>
      <c r="C36" s="234">
        <f t="shared" si="0"/>
        <v>65101.57</v>
      </c>
      <c r="E36" s="234"/>
    </row>
    <row r="37" spans="1:5">
      <c r="A37" s="233">
        <v>29</v>
      </c>
      <c r="B37" s="234">
        <v>65551</v>
      </c>
      <c r="C37" s="234">
        <f t="shared" si="0"/>
        <v>66206.509999999995</v>
      </c>
      <c r="E37" s="234"/>
    </row>
    <row r="38" spans="1:5">
      <c r="A38" s="233">
        <v>30</v>
      </c>
      <c r="B38" s="234">
        <v>66643</v>
      </c>
      <c r="C38" s="234">
        <f t="shared" si="0"/>
        <v>67309.430000000008</v>
      </c>
      <c r="E38" s="234"/>
    </row>
    <row r="39" spans="1:5">
      <c r="A39" s="233">
        <v>31</v>
      </c>
      <c r="B39" s="234">
        <v>67725</v>
      </c>
      <c r="C39" s="234">
        <f t="shared" si="0"/>
        <v>68402.25</v>
      </c>
      <c r="E39" s="234"/>
    </row>
    <row r="40" spans="1:5">
      <c r="A40" s="233">
        <v>32</v>
      </c>
      <c r="B40" s="234">
        <v>68824</v>
      </c>
      <c r="C40" s="234">
        <f t="shared" si="0"/>
        <v>69512.240000000005</v>
      </c>
      <c r="E40" s="234"/>
    </row>
    <row r="41" spans="1:5">
      <c r="A41" s="233">
        <v>33</v>
      </c>
      <c r="B41" s="234">
        <v>69924</v>
      </c>
      <c r="C41" s="234">
        <f t="shared" si="0"/>
        <v>70623.240000000005</v>
      </c>
      <c r="E41" s="234"/>
    </row>
    <row r="42" spans="1:5">
      <c r="A42" s="233">
        <v>34</v>
      </c>
      <c r="B42" s="234">
        <v>71050</v>
      </c>
      <c r="C42" s="234">
        <f t="shared" si="0"/>
        <v>71760.5</v>
      </c>
      <c r="E42" s="234"/>
    </row>
    <row r="43" spans="1:5">
      <c r="A43" s="233">
        <v>35</v>
      </c>
      <c r="B43" s="234">
        <v>72173</v>
      </c>
      <c r="C43" s="234">
        <f t="shared" si="0"/>
        <v>72894.73</v>
      </c>
      <c r="E43" s="234"/>
    </row>
    <row r="44" spans="1:5">
      <c r="A44" s="233">
        <v>36</v>
      </c>
      <c r="B44" s="234">
        <v>73329</v>
      </c>
      <c r="C44" s="234">
        <f t="shared" si="0"/>
        <v>74062.289999999994</v>
      </c>
      <c r="E44" s="234"/>
    </row>
    <row r="45" spans="1:5">
      <c r="A45" s="233">
        <v>37</v>
      </c>
      <c r="B45" s="234">
        <v>74465</v>
      </c>
      <c r="C45" s="234">
        <f t="shared" si="0"/>
        <v>75209.649999999994</v>
      </c>
      <c r="E45" s="234"/>
    </row>
    <row r="46" spans="1:5">
      <c r="A46" s="233">
        <v>38</v>
      </c>
      <c r="B46" s="234">
        <v>75615</v>
      </c>
      <c r="C46" s="234">
        <f t="shared" si="0"/>
        <v>76371.149999999994</v>
      </c>
      <c r="E46" s="234"/>
    </row>
    <row r="47" spans="1:5">
      <c r="A47" s="233">
        <v>39</v>
      </c>
      <c r="B47" s="234">
        <v>76748</v>
      </c>
      <c r="C47" s="234">
        <f t="shared" si="0"/>
        <v>77515.48</v>
      </c>
      <c r="E47" s="234"/>
    </row>
    <row r="48" spans="1:5">
      <c r="A48" s="233">
        <v>40</v>
      </c>
      <c r="B48" s="234">
        <v>77880</v>
      </c>
      <c r="C48" s="234">
        <f t="shared" si="0"/>
        <v>78658.8</v>
      </c>
      <c r="E48" s="234"/>
    </row>
    <row r="49" spans="1:6">
      <c r="A49" s="233">
        <v>41</v>
      </c>
      <c r="B49" s="234">
        <v>79019</v>
      </c>
      <c r="C49" s="234">
        <f t="shared" si="0"/>
        <v>79809.19</v>
      </c>
      <c r="E49" s="234"/>
    </row>
    <row r="50" spans="1:6">
      <c r="A50" s="233">
        <v>42</v>
      </c>
      <c r="B50" s="234">
        <v>80156</v>
      </c>
      <c r="C50" s="234">
        <f t="shared" si="0"/>
        <v>80957.56</v>
      </c>
      <c r="E50" s="234"/>
    </row>
    <row r="51" spans="1:6">
      <c r="A51" s="233">
        <v>43</v>
      </c>
      <c r="B51" s="234">
        <v>81293</v>
      </c>
      <c r="C51" s="234">
        <f t="shared" si="0"/>
        <v>82105.930000000008</v>
      </c>
      <c r="E51" s="234"/>
    </row>
    <row r="52" spans="1:6">
      <c r="A52" s="233">
        <v>44</v>
      </c>
      <c r="B52" s="234">
        <v>82435</v>
      </c>
      <c r="C52" s="234">
        <f t="shared" si="0"/>
        <v>83259.350000000006</v>
      </c>
      <c r="E52" s="234"/>
    </row>
    <row r="53" spans="1:6">
      <c r="A53" s="233">
        <v>45</v>
      </c>
      <c r="B53" s="234">
        <v>83574</v>
      </c>
      <c r="C53" s="234">
        <f t="shared" si="0"/>
        <v>84409.74</v>
      </c>
      <c r="E53" s="234"/>
    </row>
    <row r="54" spans="1:6">
      <c r="A54" s="233">
        <v>46</v>
      </c>
      <c r="B54" s="234">
        <v>84715</v>
      </c>
      <c r="C54" s="234">
        <f t="shared" si="0"/>
        <v>85562.15</v>
      </c>
      <c r="E54" s="234"/>
    </row>
    <row r="55" spans="1:6">
      <c r="A55" s="238">
        <v>47</v>
      </c>
      <c r="B55" s="234">
        <v>85860</v>
      </c>
      <c r="C55" s="234">
        <f t="shared" si="0"/>
        <v>86718.6</v>
      </c>
      <c r="E55" s="234"/>
    </row>
    <row r="56" spans="1:6">
      <c r="A56" s="239">
        <v>48</v>
      </c>
      <c r="B56" s="234">
        <v>86995</v>
      </c>
      <c r="C56" s="234">
        <f t="shared" si="0"/>
        <v>87864.95</v>
      </c>
      <c r="D56" s="214" t="s">
        <v>42</v>
      </c>
      <c r="E56" s="234"/>
    </row>
    <row r="57" spans="1:6">
      <c r="A57" s="239">
        <v>49</v>
      </c>
      <c r="B57" s="234">
        <v>88135</v>
      </c>
      <c r="C57" s="234">
        <f t="shared" si="0"/>
        <v>89016.35</v>
      </c>
      <c r="D57" s="214" t="s">
        <v>42</v>
      </c>
      <c r="E57" s="234"/>
    </row>
    <row r="58" spans="1:6">
      <c r="A58" s="239">
        <v>50</v>
      </c>
      <c r="B58" s="234">
        <v>89275</v>
      </c>
      <c r="C58" s="234">
        <f t="shared" si="0"/>
        <v>90167.75</v>
      </c>
      <c r="D58" s="214" t="s">
        <v>42</v>
      </c>
      <c r="E58" s="234"/>
    </row>
    <row r="60" spans="1:6">
      <c r="A60" s="228" t="s">
        <v>44</v>
      </c>
      <c r="B60" s="240" t="s">
        <v>72</v>
      </c>
      <c r="C60" s="240"/>
    </row>
    <row r="61" spans="1:6">
      <c r="B61" s="240" t="s">
        <v>73</v>
      </c>
      <c r="C61" s="240"/>
      <c r="D61" s="241"/>
      <c r="E61" s="241"/>
      <c r="F61" s="241"/>
    </row>
    <row r="62" spans="1:6">
      <c r="B62" s="240" t="s">
        <v>74</v>
      </c>
      <c r="C62" s="240"/>
      <c r="D62" s="241"/>
      <c r="E62" s="241"/>
      <c r="F62" s="241"/>
    </row>
    <row r="63" spans="1:6">
      <c r="B63" s="240"/>
      <c r="C63" s="240"/>
      <c r="D63" s="241"/>
      <c r="E63" s="241"/>
      <c r="F63" s="241"/>
    </row>
    <row r="64" spans="1:6">
      <c r="B64" s="240" t="s">
        <v>75</v>
      </c>
      <c r="C64" s="240"/>
      <c r="D64" s="241"/>
      <c r="E64" s="241"/>
      <c r="F64" s="241"/>
    </row>
    <row r="65" spans="2:6">
      <c r="B65" s="240" t="s">
        <v>76</v>
      </c>
      <c r="C65" s="240"/>
      <c r="D65" s="241"/>
      <c r="E65" s="241"/>
      <c r="F65" s="241"/>
    </row>
    <row r="66" spans="2:6">
      <c r="B66" s="240" t="s">
        <v>77</v>
      </c>
      <c r="C66" s="240"/>
      <c r="D66" s="241"/>
      <c r="E66" s="241"/>
      <c r="F66" s="241"/>
    </row>
    <row r="67" spans="2:6">
      <c r="B67" s="240" t="s">
        <v>76</v>
      </c>
      <c r="C67" s="240"/>
      <c r="D67" s="241"/>
      <c r="E67" s="241"/>
      <c r="F67" s="241"/>
    </row>
    <row r="68" spans="2:6">
      <c r="B68" s="240" t="s">
        <v>137</v>
      </c>
      <c r="C68" s="240"/>
      <c r="D68" s="241"/>
      <c r="E68" s="241"/>
      <c r="F68" s="241"/>
    </row>
    <row r="69" spans="2:6">
      <c r="B69" s="240" t="s">
        <v>76</v>
      </c>
      <c r="C69" s="240"/>
      <c r="D69" s="241"/>
      <c r="E69" s="241"/>
      <c r="F69" s="241"/>
    </row>
    <row r="70" spans="2:6">
      <c r="B70" s="240"/>
      <c r="C70" s="240"/>
      <c r="D70" s="241"/>
      <c r="E70" s="241"/>
      <c r="F70" s="241"/>
    </row>
    <row r="71" spans="2:6">
      <c r="B71" s="240" t="s">
        <v>78</v>
      </c>
      <c r="C71" s="240"/>
      <c r="D71" s="241"/>
      <c r="E71" s="241"/>
      <c r="F71" s="241"/>
    </row>
  </sheetData>
  <sheetProtection algorithmName="SHA-512" hashValue="M7o7x9SsugSc6MND9Vgxmb6SdUZRxvEzY+IFiwoKHdTCKqFFMYqMEJ4f+0SMIBOuq1mEXlDlEgwiZfcB0erkaw==" saltValue="jFGwW2IQtiQei7LjG0Bwug==" spinCount="100000" sheet="1" objects="1" scenarios="1"/>
  <pageMargins left="0.75" right="0.75" top="1" bottom="1" header="0.5" footer="0.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workbookViewId="0"/>
  </sheetViews>
  <sheetFormatPr defaultRowHeight="12.75"/>
  <cols>
    <col min="1" max="1" width="9.140625" style="15"/>
    <col min="2" max="2" width="6.5703125" style="15" customWidth="1"/>
    <col min="3" max="3" width="13.85546875" style="15" customWidth="1"/>
    <col min="4" max="4" width="11.7109375" style="15" customWidth="1"/>
    <col min="5" max="5" width="11.28515625" style="15" bestFit="1" customWidth="1"/>
    <col min="6" max="6" width="11.7109375" style="15" customWidth="1"/>
    <col min="7" max="7" width="11.42578125" style="15" customWidth="1"/>
    <col min="8" max="16384" width="9.140625" style="15"/>
  </cols>
  <sheetData>
    <row r="2" spans="1:8" ht="15.75">
      <c r="B2" s="151" t="s">
        <v>47</v>
      </c>
    </row>
    <row r="3" spans="1:8">
      <c r="F3" s="15" t="s">
        <v>138</v>
      </c>
    </row>
    <row r="4" spans="1:8">
      <c r="B4" s="152" t="s">
        <v>48</v>
      </c>
    </row>
    <row r="6" spans="1:8" ht="25.5">
      <c r="B6" s="153" t="s">
        <v>49</v>
      </c>
      <c r="C6" s="154" t="s">
        <v>139</v>
      </c>
      <c r="D6" s="101"/>
    </row>
    <row r="7" spans="1:8">
      <c r="A7" s="155"/>
      <c r="B7" s="156"/>
      <c r="C7" s="157"/>
      <c r="D7" s="158"/>
    </row>
    <row r="8" spans="1:8">
      <c r="A8" s="155"/>
      <c r="B8" s="156">
        <v>2</v>
      </c>
      <c r="C8" s="157">
        <v>15507</v>
      </c>
      <c r="D8" s="159"/>
      <c r="E8" s="160"/>
    </row>
    <row r="9" spans="1:8">
      <c r="A9" s="155"/>
      <c r="B9" s="156">
        <v>3</v>
      </c>
      <c r="C9" s="157">
        <v>16117</v>
      </c>
      <c r="D9" s="159"/>
    </row>
    <row r="10" spans="1:8">
      <c r="A10" s="155"/>
      <c r="B10" s="156">
        <v>4</v>
      </c>
      <c r="C10" s="157">
        <v>16681</v>
      </c>
      <c r="D10" s="159"/>
    </row>
    <row r="11" spans="1:8">
      <c r="A11" s="155"/>
      <c r="B11" s="156">
        <v>5</v>
      </c>
      <c r="C11" s="157">
        <v>17241</v>
      </c>
      <c r="D11" s="159"/>
    </row>
    <row r="12" spans="1:8">
      <c r="A12" s="155"/>
      <c r="B12" s="156">
        <v>6</v>
      </c>
      <c r="C12" s="157">
        <v>17828</v>
      </c>
      <c r="D12" s="159"/>
    </row>
    <row r="13" spans="1:8">
      <c r="A13" s="155"/>
      <c r="B13" s="156">
        <v>7</v>
      </c>
      <c r="C13" s="157">
        <v>18450</v>
      </c>
      <c r="D13" s="158"/>
    </row>
    <row r="14" spans="1:8" ht="12.75" customHeight="1">
      <c r="A14" s="155"/>
      <c r="B14" s="156">
        <v>8</v>
      </c>
      <c r="C14" s="157">
        <v>19069</v>
      </c>
      <c r="D14" s="158"/>
      <c r="E14" s="161"/>
    </row>
    <row r="15" spans="1:8" ht="12.75" customHeight="1">
      <c r="A15" s="155"/>
      <c r="B15" s="156">
        <v>9</v>
      </c>
      <c r="C15" s="157">
        <v>19856</v>
      </c>
      <c r="D15" s="158"/>
      <c r="E15" s="152"/>
    </row>
    <row r="16" spans="1:8">
      <c r="A16" s="155"/>
      <c r="B16" s="156">
        <v>10</v>
      </c>
      <c r="C16" s="157">
        <v>20472</v>
      </c>
      <c r="D16" s="158"/>
      <c r="E16" s="162"/>
      <c r="F16" s="160"/>
      <c r="G16" s="101"/>
      <c r="H16" s="163"/>
    </row>
    <row r="17" spans="1:10">
      <c r="A17" s="155"/>
      <c r="B17" s="156">
        <v>11</v>
      </c>
      <c r="C17" s="157">
        <v>21467</v>
      </c>
      <c r="D17" s="158"/>
      <c r="E17" s="161"/>
      <c r="F17" s="161"/>
      <c r="G17" s="161"/>
      <c r="H17" s="161"/>
    </row>
    <row r="18" spans="1:10">
      <c r="A18" s="155"/>
      <c r="B18" s="156">
        <v>12</v>
      </c>
      <c r="C18" s="157">
        <v>22441</v>
      </c>
      <c r="D18" s="158"/>
      <c r="E18" s="161"/>
      <c r="F18" s="161"/>
      <c r="G18" s="161"/>
      <c r="H18" s="161"/>
    </row>
    <row r="19" spans="1:10">
      <c r="A19" s="155"/>
      <c r="B19" s="156">
        <v>13</v>
      </c>
      <c r="C19" s="157">
        <v>23445</v>
      </c>
      <c r="D19" s="158"/>
      <c r="E19" s="161"/>
      <c r="F19" s="161"/>
      <c r="G19" s="164"/>
      <c r="H19" s="161"/>
    </row>
    <row r="20" spans="1:10">
      <c r="A20" s="155"/>
      <c r="B20" s="156">
        <v>14</v>
      </c>
      <c r="C20" s="157">
        <v>24485</v>
      </c>
      <c r="D20" s="158"/>
      <c r="E20" s="161"/>
      <c r="F20" s="161"/>
      <c r="G20" s="161"/>
      <c r="H20" s="161"/>
    </row>
    <row r="21" spans="1:10">
      <c r="A21" s="155"/>
      <c r="B21" s="156">
        <v>15</v>
      </c>
      <c r="C21" s="157">
        <v>25194</v>
      </c>
      <c r="D21" s="158"/>
      <c r="E21" s="161"/>
      <c r="F21" s="161"/>
      <c r="G21" s="161"/>
      <c r="H21" s="155"/>
      <c r="I21" s="159"/>
    </row>
    <row r="22" spans="1:10">
      <c r="A22" s="155"/>
      <c r="B22" s="156">
        <v>16</v>
      </c>
      <c r="C22" s="157">
        <v>25935</v>
      </c>
      <c r="D22" s="158"/>
      <c r="E22" s="161"/>
      <c r="F22" s="161"/>
      <c r="G22" s="161"/>
      <c r="H22" s="155"/>
      <c r="I22" s="159"/>
    </row>
    <row r="23" spans="1:10">
      <c r="A23" s="155"/>
      <c r="B23" s="156">
        <v>17</v>
      </c>
      <c r="C23" s="157">
        <v>26662</v>
      </c>
      <c r="D23" s="158"/>
      <c r="E23" s="161"/>
      <c r="F23" s="161"/>
      <c r="G23" s="161"/>
      <c r="H23" s="155"/>
      <c r="I23" s="159"/>
    </row>
    <row r="24" spans="1:10">
      <c r="A24" s="76"/>
      <c r="B24" s="161">
        <v>18</v>
      </c>
      <c r="C24" s="165">
        <v>27396</v>
      </c>
      <c r="E24" s="161"/>
      <c r="F24" s="161"/>
      <c r="G24" s="161"/>
      <c r="H24" s="155"/>
      <c r="I24" s="159"/>
    </row>
    <row r="25" spans="1:10">
      <c r="B25" s="161">
        <v>19</v>
      </c>
      <c r="C25" s="166">
        <v>28123</v>
      </c>
      <c r="E25" s="161"/>
      <c r="F25" s="161"/>
      <c r="G25" s="156"/>
      <c r="H25" s="156"/>
      <c r="I25" s="76"/>
      <c r="J25" s="76"/>
    </row>
    <row r="26" spans="1:10">
      <c r="B26" s="161">
        <v>20</v>
      </c>
      <c r="C26" s="166">
        <v>28852</v>
      </c>
      <c r="E26" s="161"/>
      <c r="F26" s="161"/>
      <c r="G26" s="156"/>
      <c r="H26" s="156"/>
      <c r="I26" s="76"/>
      <c r="J26" s="76"/>
    </row>
    <row r="27" spans="1:10">
      <c r="B27" s="161">
        <v>21</v>
      </c>
      <c r="C27" s="166">
        <v>29672</v>
      </c>
      <c r="E27" s="161"/>
      <c r="F27" s="161"/>
      <c r="G27" s="156"/>
      <c r="H27" s="156"/>
      <c r="I27" s="76"/>
      <c r="J27" s="76"/>
    </row>
    <row r="28" spans="1:10">
      <c r="B28" s="161">
        <v>22</v>
      </c>
      <c r="C28" s="166">
        <v>30601</v>
      </c>
      <c r="E28" s="161"/>
      <c r="F28" s="161"/>
      <c r="G28" s="156"/>
      <c r="H28" s="156"/>
      <c r="I28" s="76"/>
      <c r="J28" s="76"/>
    </row>
    <row r="29" spans="1:10">
      <c r="B29" s="161">
        <v>23</v>
      </c>
      <c r="C29" s="166">
        <v>31505</v>
      </c>
      <c r="E29" s="161"/>
      <c r="F29" s="161"/>
      <c r="G29" s="156"/>
      <c r="H29" s="156"/>
      <c r="I29" s="76"/>
      <c r="J29" s="76"/>
    </row>
    <row r="30" spans="1:10">
      <c r="B30" s="161">
        <v>24</v>
      </c>
      <c r="C30" s="166">
        <v>32413</v>
      </c>
      <c r="E30" s="161"/>
      <c r="F30" s="161"/>
      <c r="G30" s="156"/>
      <c r="H30" s="156"/>
      <c r="I30" s="76"/>
      <c r="J30" s="76"/>
    </row>
    <row r="31" spans="1:10">
      <c r="B31" s="161">
        <v>25</v>
      </c>
      <c r="C31" s="166">
        <v>33329</v>
      </c>
      <c r="E31" s="161"/>
      <c r="F31" s="161"/>
      <c r="G31" s="156"/>
      <c r="H31" s="156"/>
      <c r="I31" s="76"/>
      <c r="J31" s="76"/>
    </row>
    <row r="32" spans="1:10">
      <c r="B32" s="161">
        <v>26</v>
      </c>
      <c r="C32" s="166">
        <v>34243</v>
      </c>
      <c r="E32" s="161"/>
      <c r="F32" s="161"/>
      <c r="G32" s="156"/>
      <c r="H32" s="156"/>
      <c r="I32" s="76"/>
      <c r="J32" s="76"/>
    </row>
    <row r="33" spans="2:10">
      <c r="B33" s="161">
        <v>27</v>
      </c>
      <c r="C33" s="166">
        <v>35159</v>
      </c>
      <c r="E33" s="161"/>
      <c r="F33" s="161"/>
      <c r="G33" s="156"/>
      <c r="H33" s="156"/>
      <c r="I33" s="76"/>
      <c r="J33" s="76"/>
    </row>
    <row r="34" spans="2:10">
      <c r="B34" s="161">
        <v>28</v>
      </c>
      <c r="C34" s="166">
        <v>36085</v>
      </c>
      <c r="E34" s="161"/>
      <c r="F34" s="161"/>
      <c r="G34" s="156"/>
      <c r="H34" s="156"/>
      <c r="I34" s="76"/>
      <c r="J34" s="76"/>
    </row>
    <row r="35" spans="2:10">
      <c r="B35" s="161">
        <v>29</v>
      </c>
      <c r="C35" s="166">
        <v>37005</v>
      </c>
      <c r="E35" s="161"/>
      <c r="F35" s="161"/>
      <c r="G35" s="156"/>
      <c r="H35" s="156"/>
      <c r="I35" s="76"/>
      <c r="J35" s="76"/>
    </row>
    <row r="36" spans="2:10">
      <c r="B36" s="161">
        <v>30</v>
      </c>
      <c r="C36" s="166">
        <v>37924</v>
      </c>
      <c r="E36" s="161"/>
      <c r="F36" s="161"/>
      <c r="G36" s="156"/>
      <c r="H36" s="156"/>
      <c r="I36" s="76"/>
      <c r="J36" s="76"/>
    </row>
    <row r="37" spans="2:10">
      <c r="B37" s="15">
        <v>31</v>
      </c>
      <c r="C37" s="166">
        <v>38545</v>
      </c>
      <c r="D37" s="76" t="s">
        <v>140</v>
      </c>
      <c r="E37" s="76"/>
      <c r="F37" s="167"/>
      <c r="G37" s="168"/>
      <c r="H37" s="76"/>
      <c r="I37" s="76"/>
      <c r="J37" s="76"/>
    </row>
    <row r="38" spans="2:10">
      <c r="B38" s="15">
        <v>32</v>
      </c>
      <c r="C38" s="166">
        <v>39565</v>
      </c>
      <c r="D38" s="15" t="s">
        <v>140</v>
      </c>
      <c r="F38" s="167"/>
      <c r="G38" s="167"/>
    </row>
    <row r="39" spans="2:10">
      <c r="B39" s="160"/>
    </row>
    <row r="40" spans="2:10">
      <c r="B40" s="15" t="s">
        <v>89</v>
      </c>
    </row>
    <row r="41" spans="2:10">
      <c r="D41" s="160"/>
      <c r="E41" s="101"/>
    </row>
    <row r="42" spans="2:10">
      <c r="D42" s="15" t="s">
        <v>141</v>
      </c>
    </row>
    <row r="43" spans="2:10">
      <c r="E43" s="169"/>
    </row>
    <row r="44" spans="2:10">
      <c r="B44" s="15" t="s">
        <v>90</v>
      </c>
      <c r="D44" s="15">
        <v>34.340000000000003</v>
      </c>
      <c r="E44" s="169"/>
    </row>
    <row r="45" spans="2:10">
      <c r="B45" s="15" t="s">
        <v>91</v>
      </c>
      <c r="D45" s="15">
        <v>19.190000000000001</v>
      </c>
    </row>
  </sheetData>
  <sheetProtection algorithmName="SHA-512" hashValue="OJ6eR8/slQjdUpWjc0AO9BSMyZwr0J3baTRpwKLj65IyG5+9JHb1e3K5/e006/5chIp8iNDFyfIYXE6IjL5A+g==" saltValue="MEPibNtvqB5WNxkqjqsnn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E39" sqref="E39"/>
    </sheetView>
  </sheetViews>
  <sheetFormatPr defaultRowHeight="12.75"/>
  <cols>
    <col min="2" max="2" width="16" style="211" customWidth="1"/>
    <col min="4" max="5" width="9.140625" style="211"/>
  </cols>
  <sheetData>
    <row r="1" spans="1:5">
      <c r="A1" s="2" t="s">
        <v>197</v>
      </c>
    </row>
    <row r="3" spans="1:5">
      <c r="A3" s="2" t="s">
        <v>188</v>
      </c>
      <c r="D3" s="212" t="s">
        <v>198</v>
      </c>
    </row>
    <row r="4" spans="1:5">
      <c r="A4" s="4" t="s">
        <v>189</v>
      </c>
      <c r="B4" s="210">
        <v>22917</v>
      </c>
      <c r="D4" s="86" t="s">
        <v>199</v>
      </c>
      <c r="E4" s="210">
        <v>2667</v>
      </c>
    </row>
    <row r="5" spans="1:5">
      <c r="A5" s="4" t="s">
        <v>190</v>
      </c>
      <c r="B5" s="210">
        <v>24486</v>
      </c>
      <c r="D5" s="86" t="s">
        <v>200</v>
      </c>
      <c r="E5" s="210">
        <v>4441</v>
      </c>
    </row>
    <row r="6" spans="1:5">
      <c r="A6" s="4" t="s">
        <v>191</v>
      </c>
      <c r="B6" s="210">
        <v>26454</v>
      </c>
    </row>
    <row r="7" spans="1:5">
      <c r="A7" s="4" t="s">
        <v>192</v>
      </c>
      <c r="B7" s="210">
        <v>28490</v>
      </c>
      <c r="D7" s="86" t="s">
        <v>201</v>
      </c>
      <c r="E7" s="210">
        <v>529</v>
      </c>
    </row>
    <row r="8" spans="1:5">
      <c r="A8" s="4" t="s">
        <v>193</v>
      </c>
      <c r="B8" s="210">
        <v>30735</v>
      </c>
      <c r="D8" s="86" t="s">
        <v>202</v>
      </c>
      <c r="E8" s="210">
        <v>1578</v>
      </c>
    </row>
    <row r="9" spans="1:5">
      <c r="A9" s="4" t="s">
        <v>194</v>
      </c>
      <c r="B9" s="210">
        <v>33824</v>
      </c>
      <c r="D9" s="86" t="s">
        <v>203</v>
      </c>
      <c r="E9" s="210">
        <v>2630</v>
      </c>
    </row>
    <row r="10" spans="1:5">
      <c r="B10" s="210"/>
    </row>
    <row r="11" spans="1:5">
      <c r="A11" s="2" t="s">
        <v>195</v>
      </c>
      <c r="B11" s="210"/>
      <c r="D11" s="86" t="s">
        <v>204</v>
      </c>
      <c r="E11" s="210">
        <v>2106</v>
      </c>
    </row>
    <row r="12" spans="1:5">
      <c r="B12" s="210">
        <v>35927</v>
      </c>
      <c r="D12" s="86" t="s">
        <v>205</v>
      </c>
      <c r="E12" s="210">
        <v>4158</v>
      </c>
    </row>
    <row r="13" spans="1:5">
      <c r="B13" s="210">
        <v>37258</v>
      </c>
    </row>
    <row r="14" spans="1:5">
      <c r="B14" s="210">
        <v>38633</v>
      </c>
    </row>
    <row r="15" spans="1:5">
      <c r="A15" s="211"/>
    </row>
    <row r="16" spans="1:5">
      <c r="A16" s="2" t="s">
        <v>196</v>
      </c>
      <c r="B16" s="210"/>
    </row>
    <row r="17" spans="2:2">
      <c r="B17" s="210">
        <v>16626</v>
      </c>
    </row>
    <row r="18" spans="2:2">
      <c r="B18" s="210">
        <v>18560</v>
      </c>
    </row>
    <row r="19" spans="2:2">
      <c r="B19" s="210">
        <v>20492</v>
      </c>
    </row>
    <row r="20" spans="2:2">
      <c r="B20" s="210">
        <v>22426</v>
      </c>
    </row>
    <row r="21" spans="2:2">
      <c r="B21" s="210">
        <v>24361</v>
      </c>
    </row>
    <row r="22" spans="2:2">
      <c r="B22" s="210">
        <v>26295</v>
      </c>
    </row>
    <row r="23" spans="2:2">
      <c r="B23" s="210"/>
    </row>
    <row r="24" spans="2:2">
      <c r="B24" s="210"/>
    </row>
    <row r="25" spans="2:2">
      <c r="B25" s="210"/>
    </row>
    <row r="26" spans="2:2">
      <c r="B26" s="210"/>
    </row>
    <row r="27" spans="2:2">
      <c r="B27" s="210"/>
    </row>
    <row r="28" spans="2:2">
      <c r="B28" s="210"/>
    </row>
  </sheetData>
  <sheetProtection algorithmName="SHA-512" hashValue="oPhyF2Rsvin62CgFzc+t/P4zDNUTBv0f7U/XXs8xAta6jdgeLJ6/go6W0y2CK4/AZqZ7m9zSmQCdLIpeP9Jqiw==" saltValue="7hYKTTmW/FgfWdARkd/8+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A4" sqref="A4"/>
    </sheetView>
  </sheetViews>
  <sheetFormatPr defaultRowHeight="12.75"/>
  <cols>
    <col min="1" max="1" width="14.7109375" customWidth="1"/>
    <col min="2" max="2" width="14.7109375" style="211" customWidth="1"/>
    <col min="3" max="3" width="14.7109375" customWidth="1"/>
    <col min="4" max="4" width="8.7109375" style="211" customWidth="1"/>
    <col min="5" max="5" width="14.7109375" style="211" customWidth="1"/>
    <col min="6" max="6" width="14.7109375" customWidth="1"/>
    <col min="7" max="7" width="8.7109375" style="211" customWidth="1"/>
    <col min="8" max="10" width="14.7109375" customWidth="1"/>
  </cols>
  <sheetData>
    <row r="1" spans="1:10">
      <c r="A1" s="2" t="s">
        <v>197</v>
      </c>
    </row>
    <row r="3" spans="1:10">
      <c r="A3" s="212" t="s">
        <v>209</v>
      </c>
      <c r="B3" s="210"/>
      <c r="D3" s="212"/>
      <c r="E3" s="2" t="s">
        <v>219</v>
      </c>
      <c r="F3" s="211"/>
      <c r="G3" s="212"/>
      <c r="H3" s="212" t="s">
        <v>279</v>
      </c>
      <c r="I3" s="211"/>
    </row>
    <row r="4" spans="1:10">
      <c r="A4" s="212"/>
      <c r="B4" s="4" t="s">
        <v>207</v>
      </c>
      <c r="C4" s="4" t="s">
        <v>208</v>
      </c>
      <c r="D4" s="212"/>
      <c r="E4" s="4">
        <v>1</v>
      </c>
      <c r="F4" s="210">
        <v>39374</v>
      </c>
      <c r="G4" s="212"/>
      <c r="I4" s="4" t="s">
        <v>207</v>
      </c>
      <c r="J4" s="4" t="s">
        <v>208</v>
      </c>
    </row>
    <row r="5" spans="1:10">
      <c r="A5" s="4" t="s">
        <v>210</v>
      </c>
      <c r="B5" s="210">
        <v>44544</v>
      </c>
      <c r="C5" s="210">
        <v>59264</v>
      </c>
      <c r="D5" s="86"/>
      <c r="E5" s="4">
        <v>2</v>
      </c>
      <c r="F5" s="210">
        <v>40459</v>
      </c>
      <c r="G5" s="86"/>
      <c r="H5" s="86" t="s">
        <v>280</v>
      </c>
      <c r="I5" s="210">
        <v>7699</v>
      </c>
      <c r="J5" s="210">
        <v>13027</v>
      </c>
    </row>
    <row r="6" spans="1:10">
      <c r="A6" s="4" t="s">
        <v>211</v>
      </c>
      <c r="B6" s="210">
        <v>46799</v>
      </c>
      <c r="C6" s="210">
        <v>63779</v>
      </c>
      <c r="D6" s="86"/>
      <c r="E6" s="4">
        <v>3</v>
      </c>
      <c r="F6" s="210">
        <v>41367</v>
      </c>
      <c r="G6" s="86"/>
      <c r="H6" s="86" t="s">
        <v>281</v>
      </c>
      <c r="I6" s="210">
        <v>2667</v>
      </c>
      <c r="J6" s="210">
        <v>6515</v>
      </c>
    </row>
    <row r="7" spans="1:10">
      <c r="A7" s="4" t="s">
        <v>212</v>
      </c>
      <c r="B7" s="210">
        <v>50746</v>
      </c>
      <c r="C7" s="210">
        <v>68643</v>
      </c>
      <c r="D7" s="86"/>
      <c r="E7" s="4">
        <v>4</v>
      </c>
      <c r="F7" s="210">
        <v>42398</v>
      </c>
      <c r="G7" s="86"/>
      <c r="H7" s="86" t="s">
        <v>282</v>
      </c>
      <c r="I7" s="210">
        <v>529</v>
      </c>
      <c r="J7" s="210">
        <v>2629</v>
      </c>
    </row>
    <row r="8" spans="1:10">
      <c r="A8" s="4" t="s">
        <v>213</v>
      </c>
      <c r="B8" s="210">
        <v>54250</v>
      </c>
      <c r="C8" s="210">
        <v>73876</v>
      </c>
      <c r="D8" s="86"/>
      <c r="E8" s="4">
        <v>5</v>
      </c>
      <c r="F8" s="210">
        <v>43452</v>
      </c>
      <c r="G8" s="86"/>
      <c r="H8" s="86"/>
      <c r="I8" s="210"/>
    </row>
    <row r="9" spans="1:10">
      <c r="A9" s="4" t="s">
        <v>214</v>
      </c>
      <c r="B9" s="210">
        <v>59857</v>
      </c>
      <c r="C9" s="210">
        <v>81478</v>
      </c>
      <c r="D9" s="86"/>
      <c r="E9" s="4">
        <v>6</v>
      </c>
      <c r="F9" s="210">
        <v>44541</v>
      </c>
      <c r="G9" s="86"/>
      <c r="H9" s="212" t="s">
        <v>283</v>
      </c>
      <c r="I9" s="210"/>
    </row>
    <row r="10" spans="1:10">
      <c r="A10" s="4" t="s">
        <v>215</v>
      </c>
      <c r="B10" s="210">
        <v>64417</v>
      </c>
      <c r="C10" s="210">
        <v>89874</v>
      </c>
      <c r="D10" s="86"/>
      <c r="E10" s="4">
        <v>7</v>
      </c>
      <c r="F10" s="210">
        <v>45741</v>
      </c>
      <c r="G10" s="86"/>
      <c r="H10" s="86"/>
      <c r="I10" s="4" t="s">
        <v>207</v>
      </c>
      <c r="J10" s="4" t="s">
        <v>208</v>
      </c>
    </row>
    <row r="11" spans="1:10">
      <c r="A11" s="4" t="s">
        <v>216</v>
      </c>
      <c r="B11" s="210">
        <v>69330</v>
      </c>
      <c r="C11" s="210">
        <v>99081</v>
      </c>
      <c r="E11" s="4">
        <v>8</v>
      </c>
      <c r="F11" s="210">
        <v>46797</v>
      </c>
      <c r="H11" s="211"/>
      <c r="I11" s="210">
        <v>2106</v>
      </c>
      <c r="J11" s="210">
        <v>4158</v>
      </c>
    </row>
    <row r="12" spans="1:10">
      <c r="A12" s="4" t="s">
        <v>217</v>
      </c>
      <c r="B12" s="210">
        <v>76466</v>
      </c>
      <c r="C12" s="210">
        <v>109366</v>
      </c>
      <c r="D12" s="86"/>
      <c r="E12" s="4">
        <v>9</v>
      </c>
      <c r="F12" s="210">
        <v>47965</v>
      </c>
      <c r="G12" s="86"/>
      <c r="H12" s="86"/>
      <c r="I12" s="210"/>
    </row>
    <row r="13" spans="1:10">
      <c r="B13" s="210"/>
      <c r="D13" s="86"/>
      <c r="E13" s="4">
        <v>10</v>
      </c>
      <c r="F13" s="210">
        <v>49196</v>
      </c>
      <c r="G13" s="86"/>
      <c r="H13" s="86"/>
      <c r="I13" s="210"/>
    </row>
    <row r="14" spans="1:10">
      <c r="A14" s="2" t="s">
        <v>206</v>
      </c>
      <c r="E14" s="4">
        <v>11</v>
      </c>
      <c r="F14" s="210">
        <v>50474</v>
      </c>
    </row>
    <row r="15" spans="1:10">
      <c r="A15" s="4" t="s">
        <v>229</v>
      </c>
      <c r="B15" s="4">
        <v>39374</v>
      </c>
      <c r="C15" s="4"/>
      <c r="E15" s="4">
        <v>12</v>
      </c>
      <c r="F15" s="210">
        <v>51637</v>
      </c>
    </row>
    <row r="16" spans="1:10">
      <c r="A16" s="4" t="s">
        <v>230</v>
      </c>
      <c r="B16" s="210">
        <v>40360</v>
      </c>
      <c r="C16" s="210"/>
      <c r="E16" s="4">
        <v>13</v>
      </c>
      <c r="F16" s="210">
        <v>52928</v>
      </c>
    </row>
    <row r="17" spans="1:7">
      <c r="A17" s="4" t="s">
        <v>231</v>
      </c>
      <c r="B17" s="210">
        <v>41368</v>
      </c>
      <c r="C17" s="210"/>
      <c r="E17" s="4">
        <v>14</v>
      </c>
      <c r="F17" s="210">
        <v>54248</v>
      </c>
    </row>
    <row r="18" spans="1:7">
      <c r="A18" s="4" t="s">
        <v>232</v>
      </c>
      <c r="B18" s="210">
        <v>42398</v>
      </c>
      <c r="C18" s="210"/>
      <c r="E18" s="4">
        <v>15</v>
      </c>
      <c r="F18" s="210">
        <v>55598</v>
      </c>
    </row>
    <row r="19" spans="1:7">
      <c r="A19" s="4" t="s">
        <v>233</v>
      </c>
      <c r="B19" s="210">
        <v>43453</v>
      </c>
      <c r="C19" s="210"/>
      <c r="D19" s="212"/>
      <c r="E19" s="4">
        <v>16</v>
      </c>
      <c r="F19" s="210">
        <v>57096</v>
      </c>
      <c r="G19" s="212"/>
    </row>
    <row r="20" spans="1:7">
      <c r="A20" s="4" t="s">
        <v>234</v>
      </c>
      <c r="B20" s="210">
        <v>44544</v>
      </c>
      <c r="C20" s="210"/>
      <c r="D20" s="212"/>
      <c r="E20" s="4">
        <v>17</v>
      </c>
      <c r="F20" s="210">
        <v>58386</v>
      </c>
      <c r="G20" s="212"/>
    </row>
    <row r="21" spans="1:7">
      <c r="A21" s="4" t="s">
        <v>235</v>
      </c>
      <c r="B21" s="210">
        <v>45743</v>
      </c>
      <c r="C21" s="210"/>
      <c r="D21" s="86"/>
      <c r="E21" s="4">
        <v>18</v>
      </c>
      <c r="F21" s="210">
        <v>59857</v>
      </c>
      <c r="G21" s="86"/>
    </row>
    <row r="22" spans="1:7">
      <c r="A22" s="4" t="s">
        <v>236</v>
      </c>
      <c r="B22" s="210">
        <v>46799</v>
      </c>
      <c r="C22" s="210"/>
      <c r="D22" s="86"/>
      <c r="G22" s="86"/>
    </row>
    <row r="23" spans="1:7">
      <c r="A23" s="4" t="s">
        <v>237</v>
      </c>
      <c r="B23" s="210">
        <v>47967</v>
      </c>
      <c r="C23" s="210"/>
      <c r="D23" s="86"/>
      <c r="E23" s="2" t="s">
        <v>225</v>
      </c>
      <c r="F23" s="211"/>
      <c r="G23" s="86"/>
    </row>
    <row r="24" spans="1:7">
      <c r="A24" s="4" t="s">
        <v>238</v>
      </c>
      <c r="B24" s="210">
        <v>49198</v>
      </c>
      <c r="D24" s="86"/>
      <c r="E24" s="4" t="s">
        <v>189</v>
      </c>
      <c r="F24" s="210">
        <v>22917</v>
      </c>
      <c r="G24" s="86"/>
    </row>
    <row r="25" spans="1:7">
      <c r="A25" s="4" t="s">
        <v>239</v>
      </c>
      <c r="B25" s="210">
        <v>50476</v>
      </c>
      <c r="D25" s="86"/>
      <c r="E25" s="4" t="s">
        <v>190</v>
      </c>
      <c r="F25" s="210">
        <v>24485</v>
      </c>
      <c r="G25" s="86"/>
    </row>
    <row r="26" spans="1:7">
      <c r="A26" s="4" t="s">
        <v>240</v>
      </c>
      <c r="B26" s="210">
        <v>51638</v>
      </c>
      <c r="D26" s="86"/>
      <c r="E26" s="4" t="s">
        <v>191</v>
      </c>
      <c r="F26" s="210">
        <v>26454</v>
      </c>
      <c r="G26" s="86"/>
    </row>
    <row r="27" spans="1:7">
      <c r="A27" s="4" t="s">
        <v>241</v>
      </c>
      <c r="B27" s="210">
        <v>52929</v>
      </c>
      <c r="D27" s="86"/>
      <c r="E27" s="4" t="s">
        <v>192</v>
      </c>
      <c r="F27" s="210">
        <v>28489</v>
      </c>
      <c r="G27" s="86"/>
    </row>
    <row r="28" spans="1:7">
      <c r="A28" s="4" t="s">
        <v>242</v>
      </c>
      <c r="B28" s="210">
        <v>54250</v>
      </c>
      <c r="D28" s="86"/>
      <c r="E28" s="4" t="s">
        <v>193</v>
      </c>
      <c r="F28" s="210">
        <v>30734</v>
      </c>
      <c r="G28" s="86"/>
    </row>
    <row r="29" spans="1:7">
      <c r="A29" s="4" t="s">
        <v>243</v>
      </c>
      <c r="B29" s="210">
        <v>55599</v>
      </c>
      <c r="D29" s="86"/>
      <c r="E29" s="4" t="s">
        <v>194</v>
      </c>
      <c r="F29" s="210">
        <v>33492</v>
      </c>
      <c r="G29" s="86"/>
    </row>
    <row r="30" spans="1:7">
      <c r="A30" s="4" t="s">
        <v>244</v>
      </c>
      <c r="B30" s="210">
        <v>57076</v>
      </c>
      <c r="D30" s="86"/>
      <c r="E30"/>
      <c r="F30" s="211"/>
      <c r="G30" s="86"/>
    </row>
    <row r="31" spans="1:7">
      <c r="A31" s="4" t="s">
        <v>245</v>
      </c>
      <c r="B31" s="210">
        <v>58388</v>
      </c>
      <c r="D31" s="86"/>
      <c r="E31"/>
      <c r="F31" s="211"/>
      <c r="G31" s="86"/>
    </row>
    <row r="32" spans="1:7">
      <c r="A32" s="4" t="s">
        <v>246</v>
      </c>
      <c r="B32" s="210">
        <v>59264</v>
      </c>
      <c r="D32" s="212"/>
      <c r="E32" s="2" t="s">
        <v>218</v>
      </c>
      <c r="F32" s="211"/>
      <c r="G32" s="212"/>
    </row>
    <row r="33" spans="1:7">
      <c r="A33" s="4" t="s">
        <v>247</v>
      </c>
      <c r="B33" s="210">
        <v>59857</v>
      </c>
      <c r="E33" s="4" t="s">
        <v>226</v>
      </c>
      <c r="F33" s="210">
        <v>35927</v>
      </c>
    </row>
    <row r="34" spans="1:7">
      <c r="A34" s="4" t="s">
        <v>248</v>
      </c>
      <c r="B34" s="210">
        <v>61340</v>
      </c>
      <c r="E34" s="4" t="s">
        <v>227</v>
      </c>
      <c r="F34" s="210">
        <v>37258</v>
      </c>
    </row>
    <row r="35" spans="1:7">
      <c r="A35" s="4" t="s">
        <v>249</v>
      </c>
      <c r="B35" s="210">
        <v>62862</v>
      </c>
      <c r="E35" s="4" t="s">
        <v>228</v>
      </c>
      <c r="F35" s="210">
        <v>38633</v>
      </c>
    </row>
    <row r="36" spans="1:7">
      <c r="A36" s="4" t="s">
        <v>250</v>
      </c>
      <c r="B36" s="210">
        <v>63779</v>
      </c>
      <c r="E36"/>
      <c r="F36" s="211"/>
    </row>
    <row r="37" spans="1:7">
      <c r="A37" s="4" t="s">
        <v>251</v>
      </c>
      <c r="B37" s="210">
        <v>64413</v>
      </c>
      <c r="E37" s="2" t="s">
        <v>220</v>
      </c>
      <c r="F37" s="211"/>
    </row>
    <row r="38" spans="1:7">
      <c r="A38" s="4" t="s">
        <v>252</v>
      </c>
      <c r="B38" s="210">
        <v>66017</v>
      </c>
      <c r="E38" s="4">
        <v>1</v>
      </c>
      <c r="F38" s="210">
        <v>16626</v>
      </c>
    </row>
    <row r="39" spans="1:7">
      <c r="A39" s="4" t="s">
        <v>253</v>
      </c>
      <c r="B39" s="210">
        <v>67652</v>
      </c>
      <c r="E39" s="4">
        <v>2</v>
      </c>
      <c r="F39" s="210">
        <v>18560</v>
      </c>
    </row>
    <row r="40" spans="1:7">
      <c r="A40" s="4" t="s">
        <v>254</v>
      </c>
      <c r="B40" s="210">
        <v>68643</v>
      </c>
      <c r="D40" s="212"/>
      <c r="E40" s="4">
        <v>3</v>
      </c>
      <c r="F40" s="210">
        <v>20492</v>
      </c>
      <c r="G40" s="212"/>
    </row>
    <row r="41" spans="1:7">
      <c r="A41" s="4" t="s">
        <v>255</v>
      </c>
      <c r="B41" s="210">
        <v>69330</v>
      </c>
      <c r="E41" s="4">
        <v>4</v>
      </c>
      <c r="F41" s="210">
        <v>22426</v>
      </c>
    </row>
    <row r="42" spans="1:7">
      <c r="A42" s="4" t="s">
        <v>256</v>
      </c>
      <c r="B42" s="210">
        <v>71052</v>
      </c>
      <c r="E42" s="4">
        <v>5</v>
      </c>
      <c r="F42" s="210">
        <v>24361</v>
      </c>
    </row>
    <row r="43" spans="1:7">
      <c r="A43" s="4" t="s">
        <v>257</v>
      </c>
      <c r="B43" s="210">
        <v>72810</v>
      </c>
      <c r="E43" s="4">
        <v>6</v>
      </c>
      <c r="F43" s="210">
        <v>26294</v>
      </c>
    </row>
    <row r="44" spans="1:7">
      <c r="A44" s="4" t="s">
        <v>258</v>
      </c>
      <c r="B44" s="210">
        <v>73876</v>
      </c>
    </row>
    <row r="45" spans="1:7">
      <c r="A45" s="4" t="s">
        <v>259</v>
      </c>
      <c r="B45" s="210">
        <v>74615</v>
      </c>
    </row>
    <row r="46" spans="1:7">
      <c r="A46" s="4" t="s">
        <v>260</v>
      </c>
      <c r="B46" s="210">
        <v>76466</v>
      </c>
    </row>
    <row r="47" spans="1:7">
      <c r="A47" s="4" t="s">
        <v>261</v>
      </c>
      <c r="B47" s="210">
        <v>78359</v>
      </c>
    </row>
    <row r="48" spans="1:7">
      <c r="A48" s="4" t="s">
        <v>262</v>
      </c>
      <c r="B48" s="210">
        <v>80309</v>
      </c>
    </row>
    <row r="49" spans="1:2">
      <c r="A49" s="4" t="s">
        <v>263</v>
      </c>
      <c r="B49" s="210">
        <v>81478</v>
      </c>
    </row>
    <row r="50" spans="1:2">
      <c r="A50" s="4" t="s">
        <v>264</v>
      </c>
      <c r="B50" s="210">
        <v>82293</v>
      </c>
    </row>
    <row r="51" spans="1:2">
      <c r="A51" s="4" t="s">
        <v>265</v>
      </c>
      <c r="B51" s="210">
        <v>84338</v>
      </c>
    </row>
    <row r="52" spans="1:2">
      <c r="A52" s="4" t="s">
        <v>266</v>
      </c>
      <c r="B52" s="210">
        <v>86435</v>
      </c>
    </row>
    <row r="53" spans="1:2">
      <c r="A53" s="4" t="s">
        <v>267</v>
      </c>
      <c r="B53" s="210">
        <v>88571</v>
      </c>
    </row>
    <row r="54" spans="1:2">
      <c r="A54" s="4" t="s">
        <v>268</v>
      </c>
      <c r="B54" s="210">
        <v>89874</v>
      </c>
    </row>
    <row r="55" spans="1:2">
      <c r="A55" s="4" t="s">
        <v>269</v>
      </c>
      <c r="B55" s="210">
        <v>90773</v>
      </c>
    </row>
    <row r="56" spans="1:2">
      <c r="A56" s="4" t="s">
        <v>270</v>
      </c>
      <c r="B56" s="210">
        <v>93020</v>
      </c>
    </row>
    <row r="57" spans="1:2">
      <c r="A57" s="4" t="s">
        <v>271</v>
      </c>
      <c r="B57" s="210">
        <v>95333</v>
      </c>
    </row>
    <row r="58" spans="1:2">
      <c r="A58" s="4" t="s">
        <v>272</v>
      </c>
      <c r="B58" s="210">
        <v>97691</v>
      </c>
    </row>
    <row r="59" spans="1:2">
      <c r="A59" s="4" t="s">
        <v>273</v>
      </c>
      <c r="B59" s="210">
        <v>99081</v>
      </c>
    </row>
    <row r="60" spans="1:2">
      <c r="A60" s="4" t="s">
        <v>274</v>
      </c>
      <c r="B60" s="210">
        <v>100072</v>
      </c>
    </row>
    <row r="61" spans="1:2">
      <c r="A61" s="4" t="s">
        <v>275</v>
      </c>
      <c r="B61" s="210">
        <v>102567</v>
      </c>
    </row>
    <row r="62" spans="1:2">
      <c r="A62" s="4" t="s">
        <v>276</v>
      </c>
      <c r="B62" s="210">
        <v>105312</v>
      </c>
    </row>
    <row r="63" spans="1:2">
      <c r="A63" s="4" t="s">
        <v>277</v>
      </c>
      <c r="B63" s="210">
        <v>107766</v>
      </c>
    </row>
    <row r="64" spans="1:2">
      <c r="A64" s="4" t="s">
        <v>278</v>
      </c>
      <c r="B64" s="210">
        <v>109366</v>
      </c>
    </row>
  </sheetData>
  <sheetProtection algorithmName="SHA-512" hashValue="xo41deH2boWAvoQqofgU2UxAuYB+URahoXoOnQ13Wxx5BfYGh1xVTngcXIGactU6cnVSm9/swsLak68glTDgcQ==" saltValue="D9IePcpq+f+5i24biV3Zz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3" workbookViewId="0">
      <selection activeCell="A4" sqref="A4"/>
    </sheetView>
  </sheetViews>
  <sheetFormatPr defaultRowHeight="12.75"/>
  <cols>
    <col min="6" max="6" width="13.28515625" bestFit="1" customWidth="1"/>
    <col min="7" max="7" width="11.28515625" bestFit="1" customWidth="1"/>
  </cols>
  <sheetData>
    <row r="1" spans="1:8" ht="15">
      <c r="A1" s="170" t="s">
        <v>142</v>
      </c>
      <c r="B1" s="171"/>
      <c r="C1" s="171"/>
      <c r="D1" s="171"/>
      <c r="E1" s="171"/>
      <c r="F1" s="171" t="s">
        <v>143</v>
      </c>
      <c r="G1" s="172"/>
      <c r="H1" s="171"/>
    </row>
    <row r="2" spans="1:8" ht="15">
      <c r="A2" s="170" t="s">
        <v>144</v>
      </c>
      <c r="B2" s="171"/>
      <c r="C2" s="171"/>
      <c r="D2" s="171"/>
      <c r="E2" s="171"/>
      <c r="F2" s="171"/>
      <c r="G2" s="172"/>
      <c r="H2" s="171"/>
    </row>
    <row r="3" spans="1:8" ht="15">
      <c r="A3" s="170" t="s">
        <v>145</v>
      </c>
      <c r="B3" s="171"/>
      <c r="C3" s="171"/>
      <c r="D3" s="171"/>
      <c r="E3" s="171"/>
      <c r="F3" s="171"/>
      <c r="G3" s="172"/>
      <c r="H3" s="171"/>
    </row>
    <row r="4" spans="1:8" ht="15">
      <c r="A4" s="170"/>
      <c r="B4" s="171"/>
      <c r="C4" s="171"/>
      <c r="D4" s="171"/>
      <c r="E4" s="171"/>
      <c r="F4" s="171"/>
      <c r="G4" s="172"/>
      <c r="H4" s="171"/>
    </row>
    <row r="5" spans="1:8" ht="15">
      <c r="A5" s="170"/>
      <c r="B5" s="171"/>
      <c r="C5" s="171"/>
      <c r="D5" s="171"/>
      <c r="E5" s="171"/>
      <c r="F5" s="173">
        <v>42248</v>
      </c>
      <c r="G5" s="174">
        <v>42614</v>
      </c>
      <c r="H5" s="171"/>
    </row>
    <row r="6" spans="1:8" ht="15">
      <c r="A6" s="171"/>
      <c r="B6" s="171"/>
      <c r="C6" s="171"/>
      <c r="D6" s="171"/>
      <c r="E6" s="171"/>
      <c r="F6" s="175"/>
      <c r="G6" s="172"/>
      <c r="H6" s="171"/>
    </row>
    <row r="7" spans="1:8" ht="15">
      <c r="A7" s="171">
        <v>1</v>
      </c>
      <c r="B7" s="172" t="s">
        <v>146</v>
      </c>
      <c r="C7" s="171"/>
      <c r="D7" s="171"/>
      <c r="E7" s="173"/>
      <c r="F7" s="173"/>
      <c r="G7" s="174"/>
      <c r="H7" s="171"/>
    </row>
    <row r="8" spans="1:8" ht="15">
      <c r="A8" s="171"/>
      <c r="B8" s="172"/>
      <c r="C8" s="171"/>
      <c r="D8" s="171"/>
      <c r="E8" s="171"/>
      <c r="F8" s="176"/>
      <c r="G8" s="172"/>
      <c r="H8" s="171"/>
    </row>
    <row r="9" spans="1:8" ht="15">
      <c r="A9" s="171"/>
      <c r="B9" s="171"/>
      <c r="C9" s="171"/>
      <c r="D9" s="173"/>
      <c r="E9" s="171"/>
      <c r="F9" s="177">
        <v>8339</v>
      </c>
      <c r="G9" s="178">
        <v>8422</v>
      </c>
      <c r="H9" s="171"/>
    </row>
    <row r="10" spans="1:8" ht="15">
      <c r="A10" s="171"/>
      <c r="B10" s="171"/>
      <c r="C10" s="171"/>
      <c r="D10" s="173"/>
      <c r="E10" s="171"/>
      <c r="F10" s="177"/>
      <c r="G10" s="178"/>
      <c r="H10" s="171"/>
    </row>
    <row r="11" spans="1:8" ht="15">
      <c r="A11" s="171"/>
      <c r="B11" s="173"/>
      <c r="C11" s="179"/>
      <c r="D11" s="171"/>
      <c r="E11" s="171"/>
      <c r="F11" s="177"/>
      <c r="G11" s="178"/>
      <c r="H11" s="171"/>
    </row>
    <row r="12" spans="1:8" ht="15">
      <c r="A12" s="171">
        <v>2</v>
      </c>
      <c r="B12" s="172" t="s">
        <v>147</v>
      </c>
      <c r="C12" s="171"/>
      <c r="D12" s="171"/>
      <c r="E12" s="171"/>
      <c r="F12" s="177"/>
      <c r="G12" s="178"/>
      <c r="H12" s="171"/>
    </row>
    <row r="13" spans="1:8" ht="15">
      <c r="A13" s="171"/>
      <c r="B13" s="172"/>
      <c r="C13" s="171"/>
      <c r="D13" s="171"/>
      <c r="E13" s="171"/>
      <c r="F13" s="180"/>
      <c r="G13" s="178"/>
      <c r="H13" s="171"/>
    </row>
    <row r="14" spans="1:8" ht="15">
      <c r="A14" s="171"/>
      <c r="B14" s="171" t="s">
        <v>148</v>
      </c>
      <c r="C14" s="171"/>
      <c r="D14" s="173"/>
      <c r="E14" s="171"/>
      <c r="F14" s="177">
        <v>5452</v>
      </c>
      <c r="G14" s="178">
        <v>5507</v>
      </c>
      <c r="H14" s="171"/>
    </row>
    <row r="15" spans="1:8" ht="15">
      <c r="A15" s="171"/>
      <c r="B15" s="171"/>
      <c r="C15" s="173"/>
      <c r="D15" s="171"/>
      <c r="E15" s="171"/>
      <c r="F15" s="177"/>
      <c r="G15" s="178"/>
      <c r="H15" s="171"/>
    </row>
    <row r="16" spans="1:8" ht="15">
      <c r="A16" s="171"/>
      <c r="B16" s="188" t="s">
        <v>149</v>
      </c>
      <c r="C16" s="171"/>
      <c r="D16" s="173"/>
      <c r="E16" s="171"/>
      <c r="F16" s="177">
        <v>2147</v>
      </c>
      <c r="G16" s="178">
        <v>2168</v>
      </c>
      <c r="H16" s="171"/>
    </row>
    <row r="17" spans="1:8" ht="15">
      <c r="A17" s="171"/>
      <c r="B17" s="181"/>
      <c r="C17" s="171"/>
      <c r="D17" s="173"/>
      <c r="E17" s="171"/>
      <c r="F17" s="177"/>
      <c r="G17" s="178"/>
      <c r="H17" s="171"/>
    </row>
    <row r="18" spans="1:8" ht="15">
      <c r="A18" s="171"/>
      <c r="B18" s="171"/>
      <c r="C18" s="173"/>
      <c r="D18" s="171"/>
      <c r="E18" s="171"/>
      <c r="F18" s="177"/>
      <c r="G18" s="178"/>
      <c r="H18" s="171"/>
    </row>
    <row r="19" spans="1:8" ht="15">
      <c r="A19" s="171">
        <v>3</v>
      </c>
      <c r="B19" s="172" t="s">
        <v>150</v>
      </c>
      <c r="C19" s="171"/>
      <c r="D19" s="171"/>
      <c r="E19" s="171"/>
      <c r="F19" s="177"/>
      <c r="G19" s="178"/>
      <c r="H19" s="171"/>
    </row>
    <row r="20" spans="1:8" ht="15">
      <c r="A20" s="171"/>
      <c r="B20" s="182"/>
      <c r="C20" s="171"/>
      <c r="D20" s="171"/>
      <c r="E20" s="171"/>
      <c r="F20" s="183"/>
      <c r="G20" s="178"/>
      <c r="H20" s="171"/>
    </row>
    <row r="21" spans="1:8" ht="15">
      <c r="A21" s="171"/>
      <c r="B21" s="181" t="s">
        <v>151</v>
      </c>
      <c r="C21" s="171"/>
      <c r="D21" s="173"/>
      <c r="E21" s="171"/>
      <c r="F21" s="177">
        <v>34</v>
      </c>
      <c r="G21" s="178">
        <v>34.340000000000003</v>
      </c>
      <c r="H21" s="171"/>
    </row>
    <row r="22" spans="1:8" ht="15">
      <c r="A22" s="171"/>
      <c r="B22" s="384" t="s">
        <v>152</v>
      </c>
      <c r="C22" s="384"/>
      <c r="D22" s="173"/>
      <c r="E22" s="171"/>
      <c r="F22" s="177">
        <v>19</v>
      </c>
      <c r="G22" s="178">
        <v>19.190000000000001</v>
      </c>
      <c r="H22" s="171"/>
    </row>
    <row r="23" spans="1:8" ht="15">
      <c r="A23" s="171"/>
      <c r="B23" s="171"/>
      <c r="C23" s="171"/>
      <c r="D23" s="171"/>
      <c r="E23" s="171"/>
      <c r="F23" s="177"/>
      <c r="G23" s="178"/>
      <c r="H23" s="171"/>
    </row>
    <row r="24" spans="1:8" ht="15">
      <c r="A24" s="171"/>
      <c r="B24" s="171"/>
      <c r="C24" s="171"/>
      <c r="D24" s="171"/>
      <c r="E24" s="171"/>
      <c r="F24" s="177"/>
      <c r="G24" s="178"/>
      <c r="H24" s="171"/>
    </row>
    <row r="25" spans="1:8" ht="15">
      <c r="A25" s="172">
        <v>4</v>
      </c>
      <c r="B25" s="172" t="s">
        <v>153</v>
      </c>
      <c r="C25" s="171"/>
      <c r="D25" s="171"/>
      <c r="E25" s="171"/>
      <c r="F25" s="177"/>
      <c r="G25" s="178"/>
      <c r="H25" s="171"/>
    </row>
    <row r="26" spans="1:8" ht="15">
      <c r="A26" s="171"/>
      <c r="B26" s="172"/>
      <c r="C26" s="171"/>
      <c r="D26" s="171"/>
      <c r="E26" s="171"/>
      <c r="F26" s="183"/>
      <c r="G26" s="178"/>
      <c r="H26" s="171"/>
    </row>
    <row r="27" spans="1:8" ht="15">
      <c r="A27" s="171"/>
      <c r="B27" s="182"/>
      <c r="C27" s="171"/>
      <c r="D27" s="173"/>
      <c r="E27" s="171"/>
      <c r="F27" s="177">
        <v>2239</v>
      </c>
      <c r="G27" s="178">
        <v>2261</v>
      </c>
      <c r="H27" s="171"/>
    </row>
    <row r="28" spans="1:8" ht="15">
      <c r="A28" s="171"/>
      <c r="B28" s="182"/>
      <c r="C28" s="171"/>
      <c r="D28" s="184"/>
      <c r="E28" s="171"/>
      <c r="F28" s="177"/>
      <c r="G28" s="178"/>
      <c r="H28" s="171"/>
    </row>
    <row r="29" spans="1:8" ht="15">
      <c r="A29" s="171"/>
      <c r="B29" s="184"/>
      <c r="C29" s="171"/>
      <c r="D29" s="171"/>
      <c r="E29" s="171"/>
      <c r="F29" s="177"/>
      <c r="G29" s="178"/>
      <c r="H29" s="171"/>
    </row>
    <row r="30" spans="1:8" ht="15">
      <c r="A30" s="171">
        <v>5</v>
      </c>
      <c r="B30" s="185" t="s">
        <v>154</v>
      </c>
      <c r="C30" s="171"/>
      <c r="D30" s="171"/>
      <c r="E30" s="171"/>
      <c r="F30" s="177"/>
      <c r="G30" s="178"/>
      <c r="H30" s="171"/>
    </row>
    <row r="31" spans="1:8" ht="15">
      <c r="A31" s="171"/>
      <c r="B31" s="171"/>
      <c r="C31" s="186"/>
      <c r="D31" s="171"/>
      <c r="E31" s="171"/>
      <c r="F31" s="183"/>
      <c r="G31" s="178"/>
      <c r="H31" s="171"/>
    </row>
    <row r="32" spans="1:8" ht="15">
      <c r="A32" s="171"/>
      <c r="B32" s="171"/>
      <c r="C32" s="187"/>
      <c r="D32" s="173"/>
      <c r="E32" s="171"/>
      <c r="F32" s="177">
        <v>18616</v>
      </c>
      <c r="G32" s="178">
        <v>18802</v>
      </c>
      <c r="H32" s="171"/>
    </row>
    <row r="33" spans="1:8" ht="15">
      <c r="A33" s="171"/>
      <c r="B33" s="171"/>
      <c r="C33" s="179"/>
      <c r="D33" s="179"/>
      <c r="E33" s="171"/>
      <c r="F33" s="177">
        <v>18903</v>
      </c>
      <c r="G33" s="178">
        <v>19092</v>
      </c>
      <c r="H33" s="171"/>
    </row>
    <row r="34" spans="1:8" ht="15">
      <c r="A34" s="171"/>
      <c r="B34" s="171"/>
      <c r="C34" s="179"/>
      <c r="D34" s="179"/>
      <c r="E34" s="171"/>
      <c r="F34" s="177">
        <v>19274</v>
      </c>
      <c r="G34" s="178">
        <v>19467</v>
      </c>
      <c r="H34" s="171"/>
    </row>
    <row r="35" spans="1:8" ht="15">
      <c r="A35" s="171"/>
      <c r="B35" s="171"/>
      <c r="C35" s="179"/>
      <c r="D35" s="179"/>
      <c r="E35" s="171"/>
      <c r="F35" s="177">
        <v>19441</v>
      </c>
      <c r="G35" s="178">
        <v>19635</v>
      </c>
      <c r="H35" s="171"/>
    </row>
    <row r="36" spans="1:8" ht="15">
      <c r="A36" s="171"/>
      <c r="B36" s="171"/>
      <c r="C36" s="179"/>
      <c r="D36" s="179"/>
      <c r="E36" s="171"/>
      <c r="F36" s="177">
        <v>19758</v>
      </c>
      <c r="G36" s="178">
        <v>19956</v>
      </c>
      <c r="H36" s="171"/>
    </row>
    <row r="37" spans="1:8" ht="15">
      <c r="A37" s="171"/>
      <c r="B37" s="171"/>
      <c r="C37" s="179"/>
      <c r="D37" s="179"/>
      <c r="E37" s="171"/>
      <c r="F37" s="177">
        <v>20114</v>
      </c>
      <c r="G37" s="178">
        <v>20315</v>
      </c>
      <c r="H37" s="171"/>
    </row>
    <row r="38" spans="1:8" ht="15">
      <c r="A38" s="171"/>
      <c r="B38" s="171"/>
      <c r="C38" s="179"/>
      <c r="D38" s="179"/>
      <c r="E38" s="171"/>
      <c r="F38" s="177">
        <v>20455</v>
      </c>
      <c r="G38" s="178">
        <v>20659</v>
      </c>
      <c r="H38" s="171"/>
    </row>
    <row r="39" spans="1:8" ht="15">
      <c r="A39" s="171"/>
      <c r="B39" s="171"/>
      <c r="C39" s="179"/>
      <c r="D39" s="179"/>
      <c r="E39" s="171"/>
      <c r="F39" s="177">
        <v>20770</v>
      </c>
      <c r="G39" s="178">
        <v>20978</v>
      </c>
      <c r="H39" s="171"/>
    </row>
    <row r="40" spans="1:8" ht="15">
      <c r="A40" s="171"/>
      <c r="B40" s="171"/>
      <c r="C40" s="179"/>
      <c r="D40" s="179"/>
      <c r="E40" s="171"/>
      <c r="F40" s="177">
        <v>21141</v>
      </c>
      <c r="G40" s="178">
        <v>21352</v>
      </c>
      <c r="H40" s="171"/>
    </row>
    <row r="41" spans="1:8" ht="15">
      <c r="A41" s="171"/>
      <c r="B41" s="171"/>
      <c r="C41" s="179"/>
      <c r="D41" s="179"/>
      <c r="E41" s="171"/>
      <c r="F41" s="177">
        <v>21478</v>
      </c>
      <c r="G41" s="178">
        <v>21693</v>
      </c>
      <c r="H41" s="171"/>
    </row>
    <row r="42" spans="1:8" ht="15">
      <c r="A42" s="171"/>
      <c r="B42" s="171"/>
      <c r="C42" s="179"/>
      <c r="D42" s="179"/>
      <c r="E42" s="171"/>
      <c r="F42" s="177">
        <v>21869</v>
      </c>
      <c r="G42" s="178">
        <v>22088</v>
      </c>
      <c r="H42" s="171"/>
    </row>
    <row r="43" spans="1:8" ht="15">
      <c r="A43" s="171"/>
      <c r="B43" s="171"/>
      <c r="C43" s="179"/>
      <c r="D43" s="179"/>
      <c r="E43" s="171"/>
      <c r="F43" s="177">
        <v>22205</v>
      </c>
      <c r="G43" s="178">
        <v>22427</v>
      </c>
      <c r="H43" s="171"/>
    </row>
    <row r="44" spans="1:8" ht="15">
      <c r="A44" s="171"/>
      <c r="B44" s="171"/>
      <c r="C44" s="179"/>
      <c r="D44" s="179"/>
      <c r="E44" s="171"/>
      <c r="F44" s="177"/>
      <c r="G44" s="178"/>
      <c r="H44" s="171"/>
    </row>
    <row r="45" spans="1:8" ht="15">
      <c r="A45" s="171"/>
      <c r="B45" s="171"/>
      <c r="C45" s="179"/>
      <c r="D45" s="179"/>
      <c r="E45" s="171"/>
      <c r="F45" s="177"/>
      <c r="G45" s="178"/>
      <c r="H45" s="171"/>
    </row>
    <row r="46" spans="1:8" ht="15">
      <c r="A46" s="171"/>
      <c r="B46" s="171"/>
      <c r="C46" s="179"/>
      <c r="D46" s="179"/>
      <c r="E46" s="171"/>
      <c r="F46" s="177"/>
      <c r="G46" s="178"/>
      <c r="H46" s="171"/>
    </row>
    <row r="47" spans="1:8" ht="15">
      <c r="A47" s="171"/>
      <c r="B47" s="171"/>
      <c r="C47" s="179"/>
      <c r="D47" s="179"/>
      <c r="E47" s="171"/>
      <c r="F47" s="177"/>
      <c r="G47" s="178"/>
      <c r="H47" s="171"/>
    </row>
    <row r="48" spans="1:8" ht="15">
      <c r="A48" s="171"/>
      <c r="B48" s="171"/>
      <c r="C48" s="171"/>
      <c r="D48" s="171"/>
      <c r="E48" s="171"/>
      <c r="F48" s="177"/>
      <c r="G48" s="178"/>
      <c r="H48" s="171"/>
    </row>
    <row r="49" spans="1:8" ht="15">
      <c r="A49" s="171"/>
      <c r="B49" s="171"/>
      <c r="C49" s="171"/>
      <c r="D49" s="171"/>
      <c r="E49" s="171"/>
      <c r="F49" s="177"/>
      <c r="G49" s="178"/>
      <c r="H49" s="171"/>
    </row>
    <row r="50" spans="1:8" ht="15">
      <c r="A50" s="171">
        <v>6</v>
      </c>
      <c r="B50" s="188" t="s">
        <v>155</v>
      </c>
      <c r="C50" s="171"/>
      <c r="D50" s="171"/>
      <c r="E50" s="171"/>
      <c r="F50" s="177"/>
      <c r="G50" s="178"/>
      <c r="H50" s="171"/>
    </row>
    <row r="51" spans="1:8" ht="15">
      <c r="A51" s="171"/>
      <c r="B51" s="171"/>
      <c r="C51" s="186"/>
      <c r="D51" s="186"/>
      <c r="E51" s="171"/>
      <c r="F51" s="183"/>
      <c r="G51" s="178"/>
      <c r="H51" s="171"/>
    </row>
    <row r="52" spans="1:8" ht="15">
      <c r="A52" s="171"/>
      <c r="B52" s="171"/>
      <c r="C52" s="187"/>
      <c r="D52" s="173"/>
      <c r="E52" s="171"/>
      <c r="F52" s="177">
        <v>20001</v>
      </c>
      <c r="G52" s="178">
        <v>20201</v>
      </c>
      <c r="H52" s="171"/>
    </row>
    <row r="53" spans="1:8" ht="15">
      <c r="A53" s="171"/>
      <c r="B53" s="171"/>
      <c r="C53" s="179"/>
      <c r="D53" s="179"/>
      <c r="E53" s="171"/>
      <c r="F53" s="177">
        <v>20255</v>
      </c>
      <c r="G53" s="178">
        <v>20458</v>
      </c>
      <c r="H53" s="171"/>
    </row>
    <row r="54" spans="1:8" ht="15">
      <c r="A54" s="171"/>
      <c r="B54" s="171"/>
      <c r="C54" s="179"/>
      <c r="D54" s="179"/>
      <c r="E54" s="171"/>
      <c r="F54" s="177">
        <v>20554</v>
      </c>
      <c r="G54" s="178">
        <v>20760</v>
      </c>
      <c r="H54" s="171"/>
    </row>
    <row r="55" spans="1:8" ht="15">
      <c r="A55" s="171"/>
      <c r="B55" s="171"/>
      <c r="C55" s="179"/>
      <c r="D55" s="179"/>
      <c r="E55" s="171"/>
      <c r="F55" s="177">
        <v>21107</v>
      </c>
      <c r="G55" s="178">
        <v>21318</v>
      </c>
      <c r="H55" s="171"/>
    </row>
    <row r="56" spans="1:8" ht="15">
      <c r="A56" s="171"/>
      <c r="B56" s="171"/>
      <c r="C56" s="179"/>
      <c r="D56" s="179"/>
      <c r="E56" s="171"/>
      <c r="F56" s="177">
        <v>21650</v>
      </c>
      <c r="G56" s="178">
        <v>21866</v>
      </c>
      <c r="H56" s="171"/>
    </row>
    <row r="57" spans="1:8" ht="15">
      <c r="A57" s="171"/>
      <c r="B57" s="171"/>
      <c r="C57" s="179"/>
      <c r="D57" s="179"/>
      <c r="E57" s="171"/>
      <c r="F57" s="177">
        <v>22200</v>
      </c>
      <c r="G57" s="178">
        <v>22422</v>
      </c>
      <c r="H57" s="171"/>
    </row>
    <row r="58" spans="1:8" ht="15">
      <c r="A58" s="171"/>
      <c r="B58" s="171"/>
      <c r="C58" s="179"/>
      <c r="D58" s="179"/>
      <c r="E58" s="171"/>
      <c r="F58" s="177">
        <v>22777</v>
      </c>
      <c r="G58" s="178">
        <v>23005</v>
      </c>
      <c r="H58" s="171"/>
    </row>
    <row r="59" spans="1:8" ht="15">
      <c r="A59" s="171"/>
      <c r="B59" s="171"/>
      <c r="C59" s="179"/>
      <c r="D59" s="179"/>
      <c r="E59" s="171"/>
      <c r="F59" s="177">
        <v>23347</v>
      </c>
      <c r="G59" s="178">
        <v>23580</v>
      </c>
      <c r="H59" s="171"/>
    </row>
    <row r="60" spans="1:8" ht="15">
      <c r="A60" s="171"/>
      <c r="B60" s="171"/>
      <c r="C60" s="179"/>
      <c r="D60" s="179"/>
      <c r="E60" s="171"/>
      <c r="F60" s="177">
        <v>23957</v>
      </c>
      <c r="G60" s="178">
        <v>24197</v>
      </c>
      <c r="H60" s="171"/>
    </row>
    <row r="61" spans="1:8" ht="15">
      <c r="A61" s="171"/>
      <c r="B61" s="171"/>
      <c r="C61" s="179"/>
      <c r="D61" s="179"/>
      <c r="E61" s="171"/>
      <c r="F61" s="177">
        <v>24498</v>
      </c>
      <c r="G61" s="178">
        <v>24743</v>
      </c>
      <c r="H61" s="171"/>
    </row>
    <row r="62" spans="1:8" ht="15">
      <c r="A62" s="171"/>
      <c r="B62" s="171"/>
      <c r="C62" s="179"/>
      <c r="D62" s="179"/>
      <c r="E62" s="171"/>
      <c r="F62" s="177">
        <v>25190</v>
      </c>
      <c r="G62" s="178">
        <v>25442</v>
      </c>
      <c r="H62" s="171"/>
    </row>
    <row r="63" spans="1:8" ht="15">
      <c r="A63" s="171"/>
      <c r="B63" s="171"/>
      <c r="C63" s="179"/>
      <c r="D63" s="179"/>
      <c r="E63" s="171"/>
      <c r="F63" s="177">
        <v>25767</v>
      </c>
      <c r="G63" s="178">
        <v>26025</v>
      </c>
      <c r="H63" s="171"/>
    </row>
    <row r="64" spans="1:8" ht="15">
      <c r="A64" s="171"/>
      <c r="B64" s="171"/>
      <c r="C64" s="179"/>
      <c r="D64" s="179"/>
      <c r="E64" s="171"/>
      <c r="F64" s="177">
        <v>26387</v>
      </c>
      <c r="G64" s="178">
        <v>26651</v>
      </c>
      <c r="H64" s="171"/>
    </row>
    <row r="65" spans="1:8" ht="15">
      <c r="A65" s="171"/>
      <c r="B65" s="171"/>
      <c r="C65" s="179"/>
      <c r="D65" s="179"/>
      <c r="E65" s="171"/>
      <c r="F65" s="177">
        <v>27049</v>
      </c>
      <c r="G65" s="178">
        <v>27320</v>
      </c>
      <c r="H65" s="171"/>
    </row>
    <row r="66" spans="1:8" ht="15">
      <c r="A66" s="171"/>
      <c r="B66" s="171"/>
      <c r="C66" s="179"/>
      <c r="D66" s="179"/>
      <c r="E66" s="171"/>
      <c r="F66" s="177">
        <v>27692</v>
      </c>
      <c r="G66" s="178">
        <v>27969</v>
      </c>
      <c r="H66" s="171"/>
    </row>
  </sheetData>
  <sheetProtection algorithmName="SHA-512" hashValue="S43j/ewNACJXWbsyiJubRicOO4OtS2mzkJf/GRfpCoyLQOjKBO0avEIlgi0djlot5MJ3zTC54LejrUS017pYzQ==" saltValue="I9v9Z0ZDHisrAX+9fJW7Lw==" spinCount="100000" sheet="1" objects="1" scenarios="1"/>
  <mergeCells count="1">
    <mergeCell ref="B22:C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A6" sqref="A6"/>
    </sheetView>
  </sheetViews>
  <sheetFormatPr defaultRowHeight="12.75"/>
  <cols>
    <col min="2" max="2" width="13.28515625" customWidth="1"/>
    <col min="3" max="4" width="11.5703125" bestFit="1" customWidth="1"/>
    <col min="5" max="6" width="12.42578125" bestFit="1" customWidth="1"/>
  </cols>
  <sheetData>
    <row r="1" spans="1:7" ht="15">
      <c r="A1" s="170" t="s">
        <v>156</v>
      </c>
      <c r="B1" s="190"/>
      <c r="C1" s="171"/>
      <c r="D1" s="171"/>
      <c r="E1" s="171"/>
      <c r="F1" s="171" t="s">
        <v>143</v>
      </c>
      <c r="G1" s="171"/>
    </row>
    <row r="2" spans="1:7" ht="15">
      <c r="A2" s="170" t="s">
        <v>221</v>
      </c>
      <c r="B2" s="190"/>
      <c r="C2" s="171"/>
      <c r="D2" s="171"/>
      <c r="E2" s="171"/>
      <c r="F2" s="171"/>
      <c r="G2" s="171"/>
    </row>
    <row r="3" spans="1:7" ht="15">
      <c r="A3" s="172"/>
      <c r="B3" s="190"/>
      <c r="C3" s="171"/>
      <c r="D3" s="171"/>
      <c r="E3" s="171"/>
      <c r="F3" s="171"/>
      <c r="G3" s="171"/>
    </row>
    <row r="4" spans="1:7" ht="15">
      <c r="A4" s="191"/>
      <c r="B4" s="170" t="s">
        <v>157</v>
      </c>
      <c r="C4" s="171"/>
      <c r="D4" s="192"/>
      <c r="E4" s="171"/>
      <c r="F4" s="171"/>
      <c r="G4" s="171"/>
    </row>
    <row r="5" spans="1:7" ht="14.25">
      <c r="A5" s="171"/>
      <c r="B5" s="190"/>
      <c r="C5" s="184">
        <v>42614</v>
      </c>
      <c r="D5" s="193">
        <v>8422</v>
      </c>
      <c r="E5" s="179"/>
      <c r="F5" s="171"/>
      <c r="G5" s="171"/>
    </row>
    <row r="6" spans="1:7" ht="14.25">
      <c r="A6" s="171"/>
      <c r="B6" s="190"/>
      <c r="C6" s="184">
        <v>42979</v>
      </c>
      <c r="D6" s="193">
        <v>8506</v>
      </c>
      <c r="E6" s="171"/>
      <c r="F6" s="171"/>
      <c r="G6" s="171"/>
    </row>
    <row r="7" spans="1:7" ht="14.25">
      <c r="A7" s="171"/>
      <c r="B7" s="190"/>
      <c r="C7" s="171"/>
      <c r="D7" s="171"/>
      <c r="E7" s="171"/>
      <c r="F7" s="171"/>
      <c r="G7" s="171"/>
    </row>
    <row r="8" spans="1:7" ht="15">
      <c r="A8" s="171"/>
      <c r="B8" s="170" t="s">
        <v>222</v>
      </c>
      <c r="C8" s="171"/>
      <c r="D8" s="192"/>
      <c r="E8" s="171"/>
      <c r="F8" s="171"/>
      <c r="G8" s="171"/>
    </row>
    <row r="9" spans="1:7" ht="14.25">
      <c r="A9" s="171"/>
      <c r="B9" s="190" t="s">
        <v>223</v>
      </c>
      <c r="C9" s="184"/>
      <c r="D9" s="193"/>
      <c r="E9" s="177">
        <v>34.68</v>
      </c>
      <c r="F9" s="171"/>
      <c r="G9" s="171"/>
    </row>
    <row r="10" spans="1:7" ht="14.25">
      <c r="A10" s="171"/>
      <c r="B10" s="190" t="s">
        <v>152</v>
      </c>
      <c r="C10" s="184"/>
      <c r="D10" s="193"/>
      <c r="E10" s="177">
        <v>19.39</v>
      </c>
      <c r="F10" s="171"/>
      <c r="G10" s="171"/>
    </row>
    <row r="11" spans="1:7" ht="14.25">
      <c r="A11" s="171"/>
      <c r="B11" s="190"/>
      <c r="C11" s="184"/>
      <c r="D11" s="193"/>
      <c r="E11" s="171"/>
      <c r="F11" s="171"/>
      <c r="G11" s="171"/>
    </row>
    <row r="12" spans="1:7" ht="15">
      <c r="A12" s="194" t="s">
        <v>224</v>
      </c>
      <c r="B12" s="55"/>
      <c r="C12" s="55"/>
      <c r="D12" s="55"/>
      <c r="E12" s="55"/>
      <c r="F12" s="55"/>
      <c r="G12" s="171"/>
    </row>
    <row r="13" spans="1:7" ht="14.25">
      <c r="A13" s="195"/>
      <c r="B13" s="55"/>
      <c r="C13" s="55"/>
      <c r="D13" s="55"/>
      <c r="E13" s="55"/>
      <c r="F13" s="55"/>
      <c r="G13" s="171"/>
    </row>
    <row r="14" spans="1:7" ht="15">
      <c r="A14" s="181" t="s">
        <v>158</v>
      </c>
      <c r="B14" s="385" t="s">
        <v>159</v>
      </c>
      <c r="C14" s="385"/>
      <c r="D14" s="385"/>
      <c r="E14" s="385"/>
      <c r="F14" s="385"/>
      <c r="G14" s="171"/>
    </row>
    <row r="15" spans="1:7" ht="14.25">
      <c r="A15" s="196"/>
      <c r="B15" s="196"/>
      <c r="C15" s="196"/>
      <c r="D15" s="196"/>
      <c r="E15" s="196"/>
      <c r="F15" s="196"/>
      <c r="G15" s="171"/>
    </row>
    <row r="16" spans="1:7" ht="14.25">
      <c r="A16" s="196"/>
      <c r="B16" s="181" t="s">
        <v>160</v>
      </c>
      <c r="C16" s="386" t="s">
        <v>161</v>
      </c>
      <c r="D16" s="386"/>
      <c r="E16" s="386"/>
      <c r="F16" s="386"/>
      <c r="G16" s="171"/>
    </row>
    <row r="17" spans="1:7" ht="14.25">
      <c r="A17" s="196"/>
      <c r="B17" s="196"/>
      <c r="C17" s="196"/>
      <c r="D17" s="196"/>
      <c r="E17" s="196"/>
      <c r="F17" s="196"/>
      <c r="G17" s="171"/>
    </row>
    <row r="18" spans="1:7" ht="14.25">
      <c r="A18" s="196"/>
      <c r="B18" s="196"/>
      <c r="C18" s="196" t="s">
        <v>162</v>
      </c>
      <c r="D18" s="196" t="s">
        <v>163</v>
      </c>
      <c r="E18" s="196" t="s">
        <v>164</v>
      </c>
      <c r="F18" s="196" t="s">
        <v>165</v>
      </c>
      <c r="G18" s="171"/>
    </row>
    <row r="19" spans="1:7" ht="14.25">
      <c r="A19" s="196"/>
      <c r="B19" s="181" t="s">
        <v>166</v>
      </c>
      <c r="C19" s="197">
        <v>6117</v>
      </c>
      <c r="D19" s="197">
        <v>8983</v>
      </c>
      <c r="E19" s="197">
        <v>13065</v>
      </c>
      <c r="F19" s="197">
        <v>16711</v>
      </c>
      <c r="G19" s="179"/>
    </row>
    <row r="20" spans="1:7" ht="14.25">
      <c r="A20" s="196"/>
      <c r="B20" s="181" t="s">
        <v>167</v>
      </c>
      <c r="C20" s="197">
        <v>6681</v>
      </c>
      <c r="D20" s="197">
        <v>9530</v>
      </c>
      <c r="E20" s="197">
        <v>13868</v>
      </c>
      <c r="F20" s="197">
        <v>17338</v>
      </c>
      <c r="G20" s="179"/>
    </row>
    <row r="21" spans="1:7" ht="14.25">
      <c r="A21" s="196"/>
      <c r="B21" s="181" t="s">
        <v>168</v>
      </c>
      <c r="C21" s="197">
        <v>7017</v>
      </c>
      <c r="D21" s="197">
        <v>10282</v>
      </c>
      <c r="E21" s="197">
        <v>14960</v>
      </c>
      <c r="F21" s="197">
        <v>18702</v>
      </c>
      <c r="G21" s="179"/>
    </row>
    <row r="22" spans="1:7" ht="14.25">
      <c r="A22" s="196"/>
      <c r="B22" s="181" t="s">
        <v>169</v>
      </c>
      <c r="C22" s="197">
        <v>7379</v>
      </c>
      <c r="D22" s="197">
        <v>10821</v>
      </c>
      <c r="E22" s="197">
        <v>15812</v>
      </c>
      <c r="F22" s="197">
        <v>19673</v>
      </c>
      <c r="G22" s="179"/>
    </row>
    <row r="23" spans="1:7" ht="14.25">
      <c r="A23" s="196"/>
      <c r="B23" s="196"/>
      <c r="C23" s="187"/>
      <c r="D23" s="187"/>
      <c r="E23" s="187"/>
      <c r="F23" s="187"/>
      <c r="G23" s="171"/>
    </row>
    <row r="24" spans="1:7" ht="14.25">
      <c r="A24" s="196"/>
      <c r="B24" s="196"/>
      <c r="C24" s="196"/>
      <c r="D24" s="196"/>
      <c r="E24" s="196"/>
      <c r="F24" s="196"/>
      <c r="G24" s="171"/>
    </row>
    <row r="25" spans="1:7" ht="15">
      <c r="A25" s="181" t="s">
        <v>170</v>
      </c>
      <c r="B25" s="385" t="s">
        <v>171</v>
      </c>
      <c r="C25" s="385"/>
      <c r="D25" s="385"/>
      <c r="E25" s="385"/>
      <c r="F25" s="385"/>
      <c r="G25" s="171"/>
    </row>
    <row r="26" spans="1:7" ht="14.25">
      <c r="A26" s="196"/>
      <c r="B26" s="196"/>
      <c r="C26" s="196"/>
      <c r="D26" s="196"/>
      <c r="E26" s="196"/>
      <c r="F26" s="196"/>
      <c r="G26" s="171"/>
    </row>
    <row r="27" spans="1:7" ht="14.25">
      <c r="A27" s="196"/>
      <c r="B27" s="181" t="s">
        <v>160</v>
      </c>
      <c r="C27" s="386" t="s">
        <v>161</v>
      </c>
      <c r="D27" s="386"/>
      <c r="E27" s="386"/>
      <c r="F27" s="386"/>
      <c r="G27" s="171"/>
    </row>
    <row r="28" spans="1:7" ht="14.25">
      <c r="A28" s="196"/>
      <c r="B28" s="196"/>
      <c r="C28" s="196"/>
      <c r="D28" s="196"/>
      <c r="E28" s="196"/>
      <c r="F28" s="196"/>
      <c r="G28" s="171"/>
    </row>
    <row r="29" spans="1:7" ht="14.25">
      <c r="A29" s="196"/>
      <c r="B29" s="196"/>
      <c r="C29" s="196" t="s">
        <v>162</v>
      </c>
      <c r="D29" s="196" t="s">
        <v>163</v>
      </c>
      <c r="E29" s="196" t="s">
        <v>164</v>
      </c>
      <c r="F29" s="196" t="s">
        <v>165</v>
      </c>
      <c r="G29" s="171"/>
    </row>
    <row r="30" spans="1:7" ht="14.25">
      <c r="A30" s="196"/>
      <c r="B30" s="181" t="s">
        <v>166</v>
      </c>
      <c r="C30" s="197">
        <v>4327</v>
      </c>
      <c r="D30" s="197">
        <v>6346</v>
      </c>
      <c r="E30" s="197">
        <v>9229</v>
      </c>
      <c r="F30" s="197">
        <v>11538</v>
      </c>
      <c r="G30" s="179"/>
    </row>
    <row r="31" spans="1:7" ht="14.25">
      <c r="A31" s="196"/>
      <c r="B31" s="181" t="s">
        <v>167</v>
      </c>
      <c r="C31" s="197">
        <v>4701</v>
      </c>
      <c r="D31" s="197">
        <v>6898</v>
      </c>
      <c r="E31" s="197">
        <v>10034</v>
      </c>
      <c r="F31" s="197">
        <v>12536</v>
      </c>
      <c r="G31" s="179"/>
    </row>
    <row r="32" spans="1:7" ht="14.25">
      <c r="A32" s="196"/>
      <c r="B32" s="181" t="s">
        <v>168</v>
      </c>
      <c r="C32" s="197">
        <v>5177</v>
      </c>
      <c r="D32" s="197">
        <v>7592</v>
      </c>
      <c r="E32" s="197">
        <v>11048</v>
      </c>
      <c r="F32" s="197">
        <v>13810</v>
      </c>
      <c r="G32" s="179"/>
    </row>
    <row r="33" spans="1:7" ht="14.25">
      <c r="A33" s="196"/>
      <c r="B33" s="181" t="s">
        <v>169</v>
      </c>
      <c r="C33" s="197">
        <v>5431</v>
      </c>
      <c r="D33" s="197">
        <v>7973</v>
      </c>
      <c r="E33" s="197">
        <v>11587</v>
      </c>
      <c r="F33" s="197">
        <v>14478</v>
      </c>
      <c r="G33" s="179"/>
    </row>
    <row r="34" spans="1:7" ht="14.25">
      <c r="A34" s="196"/>
      <c r="B34" s="196"/>
      <c r="C34" s="196"/>
      <c r="D34" s="196"/>
      <c r="E34" s="196"/>
      <c r="F34" s="196"/>
      <c r="G34" s="171"/>
    </row>
    <row r="35" spans="1:7" ht="14.25">
      <c r="A35" s="196"/>
      <c r="B35" s="196"/>
      <c r="C35" s="196"/>
      <c r="D35" s="196"/>
      <c r="E35" s="196"/>
      <c r="F35" s="196"/>
      <c r="G35" s="171"/>
    </row>
    <row r="36" spans="1:7" ht="15">
      <c r="A36" s="181" t="s">
        <v>172</v>
      </c>
      <c r="B36" s="385" t="s">
        <v>173</v>
      </c>
      <c r="C36" s="385"/>
      <c r="D36" s="385"/>
      <c r="E36" s="385"/>
      <c r="F36" s="385"/>
      <c r="G36" s="171"/>
    </row>
    <row r="37" spans="1:7" ht="14.25">
      <c r="A37" s="196"/>
      <c r="B37" s="196"/>
      <c r="C37" s="196"/>
      <c r="D37" s="196"/>
      <c r="E37" s="196"/>
      <c r="F37" s="196"/>
      <c r="G37" s="171"/>
    </row>
    <row r="38" spans="1:7" ht="14.25">
      <c r="A38" s="196"/>
      <c r="B38" s="181" t="s">
        <v>160</v>
      </c>
      <c r="C38" s="386" t="s">
        <v>161</v>
      </c>
      <c r="D38" s="386"/>
      <c r="E38" s="386"/>
      <c r="F38" s="386"/>
      <c r="G38" s="171"/>
    </row>
    <row r="39" spans="1:7" ht="14.25">
      <c r="A39" s="196"/>
      <c r="B39" s="196"/>
      <c r="C39" s="196"/>
      <c r="D39" s="196"/>
      <c r="E39" s="196"/>
      <c r="F39" s="196"/>
      <c r="G39" s="171"/>
    </row>
    <row r="40" spans="1:7" ht="14.25">
      <c r="A40" s="196"/>
      <c r="B40" s="196"/>
      <c r="C40" s="196" t="s">
        <v>162</v>
      </c>
      <c r="D40" s="196" t="s">
        <v>163</v>
      </c>
      <c r="E40" s="196" t="s">
        <v>164</v>
      </c>
      <c r="F40" s="196" t="s">
        <v>165</v>
      </c>
      <c r="G40" s="171"/>
    </row>
    <row r="41" spans="1:7" ht="14.25">
      <c r="A41" s="196"/>
      <c r="B41" s="181" t="s">
        <v>166</v>
      </c>
      <c r="C41" s="197">
        <v>5204</v>
      </c>
      <c r="D41" s="197">
        <v>7633</v>
      </c>
      <c r="E41" s="197">
        <v>11099</v>
      </c>
      <c r="F41" s="197">
        <v>13872</v>
      </c>
      <c r="G41" s="179"/>
    </row>
    <row r="42" spans="1:7" ht="14.25">
      <c r="A42" s="196"/>
      <c r="B42" s="181" t="s">
        <v>167</v>
      </c>
      <c r="C42" s="197">
        <v>5529</v>
      </c>
      <c r="D42" s="197">
        <v>8099</v>
      </c>
      <c r="E42" s="197">
        <v>11789</v>
      </c>
      <c r="F42" s="197">
        <v>14729</v>
      </c>
      <c r="G42" s="179"/>
    </row>
    <row r="43" spans="1:7" ht="14.25">
      <c r="A43" s="196"/>
      <c r="B43" s="181" t="s">
        <v>168</v>
      </c>
      <c r="C43" s="197">
        <v>5843</v>
      </c>
      <c r="D43" s="197">
        <v>8568</v>
      </c>
      <c r="E43" s="197">
        <v>12457</v>
      </c>
      <c r="F43" s="197">
        <v>15573</v>
      </c>
      <c r="G43" s="179"/>
    </row>
    <row r="44" spans="1:7" ht="14.25">
      <c r="A44" s="196"/>
      <c r="B44" s="181" t="s">
        <v>169</v>
      </c>
      <c r="C44" s="197">
        <v>6152</v>
      </c>
      <c r="D44" s="197">
        <v>9013</v>
      </c>
      <c r="E44" s="197">
        <v>13119</v>
      </c>
      <c r="F44" s="197">
        <v>16391</v>
      </c>
      <c r="G44" s="179"/>
    </row>
    <row r="45" spans="1:7" ht="14.25">
      <c r="A45" s="196"/>
      <c r="B45" s="196"/>
      <c r="C45" s="196"/>
      <c r="D45" s="196"/>
      <c r="E45" s="196"/>
      <c r="F45" s="196"/>
      <c r="G45" s="171"/>
    </row>
    <row r="46" spans="1:7" ht="14.25">
      <c r="A46" s="196"/>
      <c r="B46" s="196"/>
      <c r="C46" s="196"/>
      <c r="D46" s="196"/>
      <c r="E46" s="196"/>
      <c r="F46" s="196"/>
      <c r="G46" s="171"/>
    </row>
    <row r="47" spans="1:7" ht="15">
      <c r="A47" s="181" t="s">
        <v>174</v>
      </c>
      <c r="B47" s="385" t="s">
        <v>175</v>
      </c>
      <c r="C47" s="385"/>
      <c r="D47" s="385"/>
      <c r="E47" s="385"/>
      <c r="F47" s="385"/>
      <c r="G47" s="171"/>
    </row>
    <row r="48" spans="1:7" ht="15">
      <c r="A48" s="198"/>
      <c r="B48" s="196"/>
      <c r="C48" s="196"/>
      <c r="D48" s="196"/>
      <c r="E48" s="196"/>
      <c r="F48" s="196"/>
      <c r="G48" s="171"/>
    </row>
    <row r="49" spans="1:7" ht="15">
      <c r="A49" s="198"/>
      <c r="B49" s="181" t="s">
        <v>160</v>
      </c>
      <c r="C49" s="386" t="s">
        <v>161</v>
      </c>
      <c r="D49" s="386"/>
      <c r="E49" s="386"/>
      <c r="F49" s="386"/>
      <c r="G49" s="171"/>
    </row>
    <row r="50" spans="1:7" ht="14.25">
      <c r="A50" s="196"/>
      <c r="B50" s="196"/>
      <c r="C50" s="196"/>
      <c r="D50" s="196"/>
      <c r="E50" s="196"/>
      <c r="F50" s="196"/>
      <c r="G50" s="171"/>
    </row>
    <row r="51" spans="1:7" ht="14.25">
      <c r="A51" s="196"/>
      <c r="B51" s="196"/>
      <c r="C51" s="196" t="s">
        <v>162</v>
      </c>
      <c r="D51" s="196" t="s">
        <v>163</v>
      </c>
      <c r="E51" s="196" t="s">
        <v>164</v>
      </c>
      <c r="F51" s="196" t="s">
        <v>165</v>
      </c>
      <c r="G51" s="171"/>
    </row>
    <row r="52" spans="1:7" ht="14.25">
      <c r="A52" s="196"/>
      <c r="B52" s="181" t="s">
        <v>166</v>
      </c>
      <c r="C52" s="197">
        <v>3679</v>
      </c>
      <c r="D52" s="197">
        <v>5407</v>
      </c>
      <c r="E52" s="197">
        <v>7852</v>
      </c>
      <c r="F52" s="197">
        <v>9817</v>
      </c>
      <c r="G52" s="179"/>
    </row>
    <row r="53" spans="1:7" ht="14.25">
      <c r="A53" s="196"/>
      <c r="B53" s="181" t="s">
        <v>167</v>
      </c>
      <c r="C53" s="197">
        <v>4004</v>
      </c>
      <c r="D53" s="197">
        <v>5858</v>
      </c>
      <c r="E53" s="197">
        <v>8534</v>
      </c>
      <c r="F53" s="197">
        <v>10398</v>
      </c>
      <c r="G53" s="179"/>
    </row>
    <row r="54" spans="1:7" ht="14.25">
      <c r="A54" s="196"/>
      <c r="B54" s="181" t="s">
        <v>168</v>
      </c>
      <c r="C54" s="197">
        <v>4311</v>
      </c>
      <c r="D54" s="197">
        <v>6326</v>
      </c>
      <c r="E54" s="197">
        <v>9203</v>
      </c>
      <c r="F54" s="197">
        <v>11303</v>
      </c>
      <c r="G54" s="179"/>
    </row>
    <row r="55" spans="1:7" ht="14.25">
      <c r="A55" s="196"/>
      <c r="B55" s="181" t="s">
        <v>169</v>
      </c>
      <c r="C55" s="197">
        <v>4626</v>
      </c>
      <c r="D55" s="197">
        <v>6772</v>
      </c>
      <c r="E55" s="197">
        <v>9856</v>
      </c>
      <c r="F55" s="197">
        <v>12327</v>
      </c>
      <c r="G55" s="179"/>
    </row>
    <row r="56" spans="1:7" ht="14.25">
      <c r="A56" s="196"/>
      <c r="B56" s="181"/>
      <c r="C56" s="199"/>
      <c r="D56" s="199"/>
      <c r="E56" s="199"/>
      <c r="F56" s="199"/>
      <c r="G56" s="171"/>
    </row>
    <row r="57" spans="1:7" ht="14.25">
      <c r="A57" s="196"/>
      <c r="B57" s="181"/>
      <c r="C57" s="199"/>
      <c r="D57" s="199"/>
      <c r="E57" s="199"/>
      <c r="F57" s="199"/>
      <c r="G57" s="171"/>
    </row>
    <row r="58" spans="1:7" ht="15">
      <c r="A58" s="196" t="s">
        <v>176</v>
      </c>
      <c r="B58" s="385" t="s">
        <v>177</v>
      </c>
      <c r="C58" s="385"/>
      <c r="D58" s="385"/>
      <c r="E58" s="385"/>
      <c r="F58" s="385"/>
      <c r="G58" s="171"/>
    </row>
    <row r="59" spans="1:7" ht="14.25">
      <c r="A59" s="196"/>
      <c r="B59" s="181"/>
      <c r="C59" s="387"/>
      <c r="D59" s="387"/>
      <c r="E59" s="387"/>
      <c r="F59" s="387"/>
      <c r="G59" s="171"/>
    </row>
    <row r="60" spans="1:7" ht="14.25">
      <c r="A60" s="196"/>
      <c r="B60" s="181" t="s">
        <v>160</v>
      </c>
      <c r="C60" s="387" t="s">
        <v>161</v>
      </c>
      <c r="D60" s="387"/>
      <c r="E60" s="387"/>
      <c r="F60" s="387"/>
      <c r="G60" s="171"/>
    </row>
    <row r="61" spans="1:7" ht="14.25">
      <c r="A61" s="196"/>
      <c r="B61" s="181"/>
      <c r="C61" s="199"/>
      <c r="D61" s="199"/>
      <c r="E61" s="199"/>
      <c r="F61" s="199"/>
      <c r="G61" s="171"/>
    </row>
    <row r="62" spans="1:7" ht="14.25">
      <c r="A62" s="196"/>
      <c r="B62" s="181"/>
      <c r="C62" s="196" t="s">
        <v>162</v>
      </c>
      <c r="D62" s="196" t="s">
        <v>163</v>
      </c>
      <c r="E62" s="196" t="s">
        <v>164</v>
      </c>
      <c r="F62" s="196" t="s">
        <v>165</v>
      </c>
      <c r="G62" s="171"/>
    </row>
    <row r="63" spans="1:7" ht="14.25">
      <c r="A63" s="196"/>
      <c r="B63" s="181">
        <v>2</v>
      </c>
      <c r="C63" s="197">
        <v>4288</v>
      </c>
      <c r="D63" s="197">
        <v>6290</v>
      </c>
      <c r="E63" s="197">
        <v>9152</v>
      </c>
      <c r="F63" s="197">
        <v>11441</v>
      </c>
      <c r="G63" s="179"/>
    </row>
    <row r="64" spans="1:7" ht="14.25">
      <c r="A64" s="196"/>
      <c r="B64" s="181">
        <v>3</v>
      </c>
      <c r="C64" s="197">
        <v>4551</v>
      </c>
      <c r="D64" s="197">
        <v>6670</v>
      </c>
      <c r="E64" s="197">
        <v>9429</v>
      </c>
      <c r="F64" s="197">
        <v>12134</v>
      </c>
      <c r="G64" s="179"/>
    </row>
    <row r="65" spans="1:7" ht="14.25">
      <c r="A65" s="196"/>
      <c r="B65" s="181">
        <v>4</v>
      </c>
      <c r="C65" s="197">
        <v>4914</v>
      </c>
      <c r="D65" s="197">
        <v>7206</v>
      </c>
      <c r="E65" s="197">
        <v>10821</v>
      </c>
      <c r="F65" s="197">
        <v>13089</v>
      </c>
      <c r="G65" s="179"/>
    </row>
    <row r="66" spans="1:7" ht="14.25">
      <c r="A66" s="196"/>
      <c r="B66" s="181" t="s">
        <v>169</v>
      </c>
      <c r="C66" s="197">
        <v>5166</v>
      </c>
      <c r="D66" s="197">
        <v>7436</v>
      </c>
      <c r="E66" s="197">
        <v>11070</v>
      </c>
      <c r="F66" s="197">
        <v>13770</v>
      </c>
      <c r="G66" s="179"/>
    </row>
    <row r="67" spans="1:7" ht="14.25">
      <c r="A67" s="196"/>
      <c r="B67" s="181"/>
      <c r="C67" s="199"/>
      <c r="D67" s="199"/>
      <c r="E67" s="199"/>
      <c r="F67" s="199"/>
      <c r="G67" s="171"/>
    </row>
    <row r="68" spans="1:7" ht="14.25">
      <c r="A68" s="196"/>
      <c r="B68" s="181"/>
      <c r="C68" s="199"/>
      <c r="D68" s="199"/>
      <c r="E68" s="199"/>
      <c r="F68" s="199"/>
      <c r="G68" s="171"/>
    </row>
    <row r="69" spans="1:7" ht="15">
      <c r="A69" s="181" t="s">
        <v>178</v>
      </c>
      <c r="B69" s="385" t="s">
        <v>179</v>
      </c>
      <c r="C69" s="385"/>
      <c r="D69" s="385"/>
      <c r="E69" s="385"/>
      <c r="F69" s="385"/>
      <c r="G69" s="171"/>
    </row>
    <row r="70" spans="1:7" ht="14.25">
      <c r="A70" s="196"/>
      <c r="B70" s="181"/>
      <c r="C70" s="199"/>
      <c r="D70" s="199"/>
      <c r="E70" s="199"/>
      <c r="F70" s="199"/>
      <c r="G70" s="171"/>
    </row>
    <row r="71" spans="1:7" ht="14.25">
      <c r="A71" s="196"/>
      <c r="B71" s="181" t="s">
        <v>160</v>
      </c>
      <c r="C71" s="386" t="s">
        <v>161</v>
      </c>
      <c r="D71" s="386"/>
      <c r="E71" s="386"/>
      <c r="F71" s="386"/>
      <c r="G71" s="171"/>
    </row>
    <row r="72" spans="1:7" ht="14.25">
      <c r="A72" s="196"/>
      <c r="B72" s="181"/>
      <c r="C72" s="199"/>
      <c r="D72" s="199"/>
      <c r="E72" s="199"/>
      <c r="F72" s="199"/>
      <c r="G72" s="171"/>
    </row>
    <row r="73" spans="1:7" ht="14.25">
      <c r="A73" s="196"/>
      <c r="B73" s="196"/>
      <c r="C73" s="196" t="s">
        <v>162</v>
      </c>
      <c r="D73" s="196" t="s">
        <v>163</v>
      </c>
      <c r="E73" s="196" t="s">
        <v>164</v>
      </c>
      <c r="F73" s="196" t="s">
        <v>165</v>
      </c>
      <c r="G73" s="171"/>
    </row>
    <row r="74" spans="1:7" ht="14.25">
      <c r="A74" s="196"/>
      <c r="B74" s="181">
        <v>2</v>
      </c>
      <c r="C74" s="197">
        <v>3031</v>
      </c>
      <c r="D74" s="197">
        <v>4444</v>
      </c>
      <c r="E74" s="197">
        <v>6457</v>
      </c>
      <c r="F74" s="197">
        <v>8076</v>
      </c>
      <c r="G74" s="179"/>
    </row>
    <row r="75" spans="1:7" ht="14.25">
      <c r="A75" s="196"/>
      <c r="B75" s="181">
        <v>3</v>
      </c>
      <c r="C75" s="197">
        <v>3293</v>
      </c>
      <c r="D75" s="197">
        <v>4828</v>
      </c>
      <c r="E75" s="197">
        <v>7024</v>
      </c>
      <c r="F75" s="197">
        <v>8779</v>
      </c>
      <c r="G75" s="179"/>
    </row>
    <row r="76" spans="1:7" ht="14.25">
      <c r="A76" s="196"/>
      <c r="B76" s="181">
        <v>4</v>
      </c>
      <c r="C76" s="197">
        <v>3626</v>
      </c>
      <c r="D76" s="197">
        <v>5313</v>
      </c>
      <c r="E76" s="197">
        <v>7731</v>
      </c>
      <c r="F76" s="197">
        <v>9663</v>
      </c>
      <c r="G76" s="179"/>
    </row>
    <row r="77" spans="1:7" ht="14.25">
      <c r="A77" s="196"/>
      <c r="B77" s="181" t="s">
        <v>169</v>
      </c>
      <c r="C77" s="197">
        <v>3800</v>
      </c>
      <c r="D77" s="197">
        <v>5579</v>
      </c>
      <c r="E77" s="197">
        <v>8109</v>
      </c>
      <c r="F77" s="197">
        <v>10129</v>
      </c>
      <c r="G77" s="179"/>
    </row>
    <row r="78" spans="1:7" ht="14.25">
      <c r="A78" s="196"/>
      <c r="B78" s="189"/>
      <c r="C78" s="199"/>
      <c r="D78" s="199"/>
      <c r="E78" s="199"/>
      <c r="F78" s="199"/>
      <c r="G78" s="171"/>
    </row>
    <row r="79" spans="1:7" ht="14.25">
      <c r="A79" s="195"/>
      <c r="B79" s="190"/>
      <c r="C79" s="171"/>
      <c r="D79" s="171"/>
      <c r="E79" s="171"/>
      <c r="F79" s="171"/>
      <c r="G79" s="171"/>
    </row>
    <row r="80" spans="1:7" ht="15">
      <c r="A80" s="194"/>
      <c r="B80" s="190"/>
      <c r="C80" s="171"/>
      <c r="D80" s="171"/>
      <c r="E80" s="171"/>
      <c r="F80" s="171"/>
      <c r="G80" s="171"/>
    </row>
    <row r="81" spans="1:7" ht="14.25">
      <c r="A81" s="195"/>
      <c r="B81" s="190"/>
      <c r="C81" s="171"/>
      <c r="D81" s="171"/>
      <c r="E81" s="171"/>
      <c r="F81" s="171"/>
      <c r="G81" s="171"/>
    </row>
  </sheetData>
  <sheetProtection algorithmName="SHA-512" hashValue="td4O/bH48WWxxJ/mZ5Wxvejp6CtSaLdw03fswLHbu85PfeMl7/MfW5hyafq39xhZ8PdGPB+2VswZIToOK2BB5g==" saltValue="njB3W1+tgULo6axDNJkzXg==" spinCount="100000" sheet="1" objects="1" scenarios="1"/>
  <mergeCells count="13">
    <mergeCell ref="B14:F14"/>
    <mergeCell ref="C16:F16"/>
    <mergeCell ref="B25:F25"/>
    <mergeCell ref="C27:F27"/>
    <mergeCell ref="B36:F36"/>
    <mergeCell ref="B69:F69"/>
    <mergeCell ref="C71:F71"/>
    <mergeCell ref="C38:F38"/>
    <mergeCell ref="B47:F47"/>
    <mergeCell ref="C49:F49"/>
    <mergeCell ref="B58:F58"/>
    <mergeCell ref="C59:F59"/>
    <mergeCell ref="C60:F6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with description)" ma:contentTypeID="0x010100B2639F61518146F7B691FB2FCB5B66D000E6E742E0DAAECB42A7DC53CB1FBFFE40" ma:contentTypeVersion="1" ma:contentTypeDescription="Create a new document." ma:contentTypeScope="" ma:versionID="f4019458d1a743484b92a492368dd782">
  <xsd:schema xmlns:xsd="http://www.w3.org/2001/XMLSchema" xmlns:p="http://schemas.microsoft.com/office/2006/metadata/properties" xmlns:ns1="http://schemas.microsoft.com/sharepoint/v3" targetNamespace="http://schemas.microsoft.com/office/2006/metadata/properties" ma:root="true" ma:fieldsID="7123316c55b0b36ecaf099a87d42a3cb" ns1:_="">
    <xsd:import namespace="http://schemas.microsoft.com/sharepoint/v3"/>
    <xsd:element name="properties">
      <xsd:complexType>
        <xsd:sequence>
          <xsd:element name="documentManagement">
            <xsd:complexType>
              <xsd:all>
                <xsd:element ref="ns1:Descript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Description" ma:index="9" nillable="true" ma:displayName="Description" ma:description="The description for this document." ma:internalName="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FB8410F3-C278-4EF8-B327-048FCB72F203}">
  <ds:schemaRefs>
    <ds:schemaRef ds:uri="http://purl.org/dc/elements/1.1/"/>
    <ds:schemaRef ds:uri="http://schemas.microsoft.com/office/2006/documentManagement/types"/>
    <ds:schemaRef ds:uri="http://schemas.openxmlformats.org/package/2006/metadata/core-properties"/>
    <ds:schemaRef ds:uri="http://purl.org/dc/terms/"/>
    <ds:schemaRef ds:uri="http://www.w3.org/XML/1998/namespace"/>
    <ds:schemaRef ds:uri="http://schemas.microsoft.com/office/2006/metadata/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ABDE0067-71BD-4576-AA8B-1F19814B0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983E7EF-374F-4944-8F9E-FAE550BF523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NYCC PaySpine</vt:lpstr>
      <vt:lpstr>APPRENTICE RATES</vt:lpstr>
      <vt:lpstr>Soulbury EP</vt:lpstr>
      <vt:lpstr>Soulbury EIP</vt:lpstr>
      <vt:lpstr>Youth&amp;Comm SuppWorker</vt:lpstr>
      <vt:lpstr>Centrally employed teachers</vt:lpstr>
      <vt:lpstr>Teachers</vt:lpstr>
      <vt:lpstr>Teachers Residential SS </vt:lpstr>
      <vt:lpstr>Teachers Residential Schools</vt:lpstr>
      <vt:lpstr>'NYCC PaySpine'!Print_Area</vt:lpstr>
      <vt:lpstr>'Soulbury EIP'!Print_Area</vt:lpstr>
      <vt:lpstr>'Soulbury EP'!Print_Area</vt:lpstr>
    </vt:vector>
  </TitlesOfParts>
  <Company>North Yorkshire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scales as of 01-04-2018</dc:title>
  <dc:creator>jcorobin</dc:creator>
  <cp:lastModifiedBy>Katy Fairley</cp:lastModifiedBy>
  <cp:lastPrinted>2018-04-11T10:03:13Z</cp:lastPrinted>
  <dcterms:created xsi:type="dcterms:W3CDTF">2006-10-24T23:00:00Z</dcterms:created>
  <dcterms:modified xsi:type="dcterms:W3CDTF">2018-04-18T11:39:27Z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 (with description)</vt:lpwstr>
  </property>
</Properties>
</file>